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fnma-my.sharepoint.com/personal/w2ujeb_fanniemae_com/Documents/Desktop/fm.com/fundingsummaryreport/debtfundingsummary/2023/"/>
    </mc:Choice>
  </mc:AlternateContent>
  <xr:revisionPtr revIDLastSave="0" documentId="8_{DDA6A32F-DF7C-4D44-B9CC-F8C6F6AB85A5}" xr6:coauthVersionLast="47" xr6:coauthVersionMax="47" xr10:uidLastSave="{00000000-0000-0000-0000-000000000000}"/>
  <bookViews>
    <workbookView xWindow="240" yWindow="1900" windowWidth="18960" windowHeight="7360" firstSheet="2" activeTab="11" xr2:uid="{00000000-000D-0000-FFFF-FFFF00000000}"/>
  </bookViews>
  <sheets>
    <sheet name="JAN 2022" sheetId="18" r:id="rId1"/>
    <sheet name="FEB 2022" sheetId="19" r:id="rId2"/>
    <sheet name="MAR 2022" sheetId="21" r:id="rId3"/>
    <sheet name="APR 2022" sheetId="22" r:id="rId4"/>
    <sheet name="MAY 2022" sheetId="23" r:id="rId5"/>
    <sheet name="JUN 2022" sheetId="24" r:id="rId6"/>
    <sheet name="JUL 2002" sheetId="25" r:id="rId7"/>
    <sheet name="AUG 2022" sheetId="26" r:id="rId8"/>
    <sheet name="SEP 2022" sheetId="27" r:id="rId9"/>
    <sheet name="OCT 2022" sheetId="28" r:id="rId10"/>
    <sheet name="NOV 2022" sheetId="29" r:id="rId11"/>
    <sheet name="DEC 2022" sheetId="3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3" hidden="1">'APR 2022'!$B$5:$H$18</definedName>
    <definedName name="_xlnm._FilterDatabase" localSheetId="7" hidden="1">'AUG 2022'!$B$5:$H$18</definedName>
    <definedName name="_xlnm._FilterDatabase" localSheetId="11" hidden="1">'DEC 2022'!$B$5:$H$19</definedName>
    <definedName name="_xlnm._FilterDatabase" localSheetId="1" hidden="1">'FEB 2022'!$B$5:$H$18</definedName>
    <definedName name="_xlnm._FilterDatabase" localSheetId="0" hidden="1">'JAN 2022'!$B$5:$H$18</definedName>
    <definedName name="_xlnm._FilterDatabase" localSheetId="6" hidden="1">'JUL 2002'!$B$5:$H$18</definedName>
    <definedName name="_xlnm._FilterDatabase" localSheetId="5" hidden="1">'JUN 2022'!$B$5:$H$18</definedName>
    <definedName name="_xlnm._FilterDatabase" localSheetId="2" hidden="1">'MAR 2022'!$B$5:$H$18</definedName>
    <definedName name="_xlnm._FilterDatabase" localSheetId="4" hidden="1">'MAY 2022'!$B$5:$H$18</definedName>
    <definedName name="_xlnm._FilterDatabase" localSheetId="10" hidden="1">'NOV 2022'!$B$5:$H$18</definedName>
    <definedName name="_xlnm._FilterDatabase" localSheetId="9" hidden="1">'OCT 2022'!$B$5:$H$18</definedName>
    <definedName name="_xlnm._FilterDatabase" localSheetId="8" hidden="1">'SEP 2022'!$B$5:$H$18</definedName>
    <definedName name="_xlnm.Print_Area" localSheetId="3">'APR 2022'!$A$1:$H$26</definedName>
    <definedName name="_xlnm.Print_Area" localSheetId="7">'AUG 2022'!$A$1:$H$26</definedName>
    <definedName name="_xlnm.Print_Area" localSheetId="11">'DEC 2022'!$A$1:$H$27</definedName>
    <definedName name="_xlnm.Print_Area" localSheetId="1">'FEB 2022'!$A$1:$H$27</definedName>
    <definedName name="_xlnm.Print_Area" localSheetId="0">'JAN 2022'!$A$1:$H$29</definedName>
    <definedName name="_xlnm.Print_Area" localSheetId="6">'JUL 2002'!$A$1:$H$26</definedName>
    <definedName name="_xlnm.Print_Area" localSheetId="5">'JUN 2022'!$A$1:$H$26</definedName>
    <definedName name="_xlnm.Print_Area" localSheetId="2">'MAR 2022'!$A$1:$H$26</definedName>
    <definedName name="_xlnm.Print_Area" localSheetId="4">'MAY 2022'!$A$1:$H$19</definedName>
    <definedName name="_xlnm.Print_Area" localSheetId="10">'NOV 2022'!$A$1:$H$26</definedName>
    <definedName name="_xlnm.Print_Area" localSheetId="9">'OCT 2022'!$A$1:$H$26</definedName>
    <definedName name="_xlnm.Print_Area" localSheetId="8">'SEP 2022'!$A$1:$H$26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30" l="1"/>
  <c r="F17" i="30"/>
  <c r="E17" i="30"/>
  <c r="D17" i="30"/>
  <c r="H16" i="30"/>
  <c r="F16" i="30"/>
  <c r="E16" i="30"/>
  <c r="D16" i="30"/>
  <c r="H15" i="30"/>
  <c r="G15" i="30"/>
  <c r="G18" i="30" s="1"/>
  <c r="F15" i="30"/>
  <c r="E15" i="30"/>
  <c r="D15" i="30"/>
  <c r="H14" i="30"/>
  <c r="F14" i="30"/>
  <c r="E14" i="30"/>
  <c r="D14" i="30"/>
  <c r="H11" i="30"/>
  <c r="F11" i="30"/>
  <c r="E11" i="30"/>
  <c r="D11" i="30"/>
  <c r="H10" i="30"/>
  <c r="F10" i="30"/>
  <c r="E10" i="30"/>
  <c r="D10" i="30"/>
  <c r="D18" i="30" s="1"/>
  <c r="G9" i="30"/>
  <c r="H8" i="30"/>
  <c r="F8" i="30"/>
  <c r="E8" i="30"/>
  <c r="D8" i="30"/>
  <c r="H6" i="30"/>
  <c r="H9" i="30" s="1"/>
  <c r="F6" i="30"/>
  <c r="F9" i="30" s="1"/>
  <c r="E6" i="30"/>
  <c r="E9" i="30" s="1"/>
  <c r="D6" i="30"/>
  <c r="D9" i="30" s="1"/>
  <c r="H16" i="29"/>
  <c r="F16" i="29"/>
  <c r="E16" i="29"/>
  <c r="D16" i="29"/>
  <c r="H15" i="29"/>
  <c r="F15" i="29"/>
  <c r="E15" i="29"/>
  <c r="D15" i="29"/>
  <c r="H14" i="29"/>
  <c r="G14" i="29"/>
  <c r="G17" i="29" s="1"/>
  <c r="F14" i="29"/>
  <c r="E14" i="29"/>
  <c r="D14" i="29"/>
  <c r="H13" i="29"/>
  <c r="F13" i="29"/>
  <c r="E13" i="29"/>
  <c r="D13" i="29"/>
  <c r="H10" i="29"/>
  <c r="F10" i="29"/>
  <c r="E10" i="29"/>
  <c r="D10" i="29"/>
  <c r="H9" i="29"/>
  <c r="F9" i="29"/>
  <c r="E9" i="29"/>
  <c r="E17" i="29" s="1"/>
  <c r="E18" i="29" s="1"/>
  <c r="D9" i="29"/>
  <c r="G8" i="29"/>
  <c r="H6" i="29"/>
  <c r="H8" i="29" s="1"/>
  <c r="F6" i="29"/>
  <c r="F8" i="29" s="1"/>
  <c r="E6" i="29"/>
  <c r="E8" i="29" s="1"/>
  <c r="D6" i="29"/>
  <c r="D8" i="29" s="1"/>
  <c r="E18" i="30" l="1"/>
  <c r="E19" i="30" s="1"/>
  <c r="F18" i="30"/>
  <c r="F19" i="30" s="1"/>
  <c r="H18" i="30"/>
  <c r="H19" i="30" s="1"/>
  <c r="G19" i="30"/>
  <c r="D19" i="30"/>
  <c r="H17" i="29"/>
  <c r="H18" i="29" s="1"/>
  <c r="F17" i="29"/>
  <c r="G18" i="29"/>
  <c r="D17" i="29"/>
  <c r="D18" i="29" s="1"/>
  <c r="F18" i="29"/>
  <c r="H16" i="28" l="1"/>
  <c r="F16" i="28"/>
  <c r="E16" i="28"/>
  <c r="D16" i="28"/>
  <c r="H15" i="28"/>
  <c r="F15" i="28"/>
  <c r="E15" i="28"/>
  <c r="D15" i="28"/>
  <c r="H14" i="28"/>
  <c r="G14" i="28"/>
  <c r="G17" i="28" s="1"/>
  <c r="F14" i="28"/>
  <c r="E14" i="28"/>
  <c r="D14" i="28"/>
  <c r="H13" i="28"/>
  <c r="F13" i="28"/>
  <c r="E13" i="28"/>
  <c r="D13" i="28"/>
  <c r="H10" i="28"/>
  <c r="F10" i="28"/>
  <c r="E10" i="28"/>
  <c r="D10" i="28"/>
  <c r="H9" i="28"/>
  <c r="F9" i="28"/>
  <c r="F17" i="28" s="1"/>
  <c r="E9" i="28"/>
  <c r="D9" i="28"/>
  <c r="G8" i="28"/>
  <c r="H6" i="28"/>
  <c r="H8" i="28" s="1"/>
  <c r="F6" i="28"/>
  <c r="F8" i="28" s="1"/>
  <c r="E6" i="28"/>
  <c r="E8" i="28" s="1"/>
  <c r="D6" i="28"/>
  <c r="D8" i="28" s="1"/>
  <c r="F18" i="28" l="1"/>
  <c r="H17" i="28"/>
  <c r="H18" i="28" s="1"/>
  <c r="G18" i="28"/>
  <c r="D17" i="28"/>
  <c r="D18" i="28" s="1"/>
  <c r="E17" i="28"/>
  <c r="E18" i="28" s="1"/>
  <c r="H16" i="27"/>
  <c r="F16" i="27"/>
  <c r="E16" i="27"/>
  <c r="D16" i="27"/>
  <c r="H15" i="27"/>
  <c r="F15" i="27"/>
  <c r="E15" i="27"/>
  <c r="D15" i="27"/>
  <c r="H14" i="27"/>
  <c r="G14" i="27"/>
  <c r="G17" i="27" s="1"/>
  <c r="G18" i="27" s="1"/>
  <c r="F14" i="27"/>
  <c r="E14" i="27"/>
  <c r="D14" i="27"/>
  <c r="H13" i="27"/>
  <c r="F13" i="27"/>
  <c r="E13" i="27"/>
  <c r="D13" i="27"/>
  <c r="H10" i="27"/>
  <c r="F10" i="27"/>
  <c r="E10" i="27"/>
  <c r="D10" i="27"/>
  <c r="H9" i="27"/>
  <c r="H17" i="27" s="1"/>
  <c r="H18" i="27" s="1"/>
  <c r="F9" i="27"/>
  <c r="F17" i="27" s="1"/>
  <c r="E9" i="27"/>
  <c r="D9" i="27"/>
  <c r="D17" i="27" s="1"/>
  <c r="G8" i="27"/>
  <c r="H6" i="27"/>
  <c r="H8" i="27" s="1"/>
  <c r="F6" i="27"/>
  <c r="F8" i="27" s="1"/>
  <c r="E6" i="27"/>
  <c r="E8" i="27" s="1"/>
  <c r="D6" i="27"/>
  <c r="D8" i="27" s="1"/>
  <c r="H16" i="26"/>
  <c r="F16" i="26"/>
  <c r="E16" i="26"/>
  <c r="D16" i="26"/>
  <c r="H15" i="26"/>
  <c r="F15" i="26"/>
  <c r="E15" i="26"/>
  <c r="D15" i="26"/>
  <c r="H14" i="26"/>
  <c r="G14" i="26"/>
  <c r="G17" i="26" s="1"/>
  <c r="G18" i="26" s="1"/>
  <c r="F14" i="26"/>
  <c r="E14" i="26"/>
  <c r="D14" i="26"/>
  <c r="H13" i="26"/>
  <c r="F13" i="26"/>
  <c r="E13" i="26"/>
  <c r="D13" i="26"/>
  <c r="H10" i="26"/>
  <c r="F10" i="26"/>
  <c r="E10" i="26"/>
  <c r="D10" i="26"/>
  <c r="H9" i="26"/>
  <c r="F9" i="26"/>
  <c r="F17" i="26" s="1"/>
  <c r="F18" i="26" s="1"/>
  <c r="E9" i="26"/>
  <c r="E17" i="26" s="1"/>
  <c r="E18" i="26" s="1"/>
  <c r="D9" i="26"/>
  <c r="G8" i="26"/>
  <c r="H6" i="26"/>
  <c r="H8" i="26" s="1"/>
  <c r="F6" i="26"/>
  <c r="F8" i="26" s="1"/>
  <c r="E6" i="26"/>
  <c r="E8" i="26" s="1"/>
  <c r="D6" i="26"/>
  <c r="D8" i="26" s="1"/>
  <c r="H16" i="25"/>
  <c r="F16" i="25"/>
  <c r="E16" i="25"/>
  <c r="D16" i="25"/>
  <c r="H15" i="25"/>
  <c r="F15" i="25"/>
  <c r="E15" i="25"/>
  <c r="D15" i="25"/>
  <c r="H14" i="25"/>
  <c r="G14" i="25"/>
  <c r="G17" i="25" s="1"/>
  <c r="F14" i="25"/>
  <c r="E14" i="25"/>
  <c r="D14" i="25"/>
  <c r="H13" i="25"/>
  <c r="F13" i="25"/>
  <c r="E13" i="25"/>
  <c r="D13" i="25"/>
  <c r="H10" i="25"/>
  <c r="F10" i="25"/>
  <c r="E10" i="25"/>
  <c r="D10" i="25"/>
  <c r="H9" i="25"/>
  <c r="F9" i="25"/>
  <c r="E9" i="25"/>
  <c r="D9" i="25"/>
  <c r="G8" i="25"/>
  <c r="H6" i="25"/>
  <c r="H8" i="25" s="1"/>
  <c r="F6" i="25"/>
  <c r="F8" i="25" s="1"/>
  <c r="E6" i="25"/>
  <c r="E8" i="25" s="1"/>
  <c r="D6" i="25"/>
  <c r="D8" i="25" s="1"/>
  <c r="F18" i="27" l="1"/>
  <c r="E17" i="27"/>
  <c r="E18" i="27" s="1"/>
  <c r="D18" i="27"/>
  <c r="H17" i="26"/>
  <c r="H18" i="26" s="1"/>
  <c r="D17" i="26"/>
  <c r="D18" i="26"/>
  <c r="E17" i="25"/>
  <c r="E18" i="25" s="1"/>
  <c r="F17" i="25"/>
  <c r="F18" i="25" s="1"/>
  <c r="H17" i="25"/>
  <c r="H18" i="25" s="1"/>
  <c r="G18" i="25"/>
  <c r="D17" i="25"/>
  <c r="D18" i="25" s="1"/>
  <c r="H16" i="24" l="1"/>
  <c r="F16" i="24"/>
  <c r="E16" i="24"/>
  <c r="D16" i="24"/>
  <c r="H15" i="24"/>
  <c r="F15" i="24"/>
  <c r="E15" i="24"/>
  <c r="D15" i="24"/>
  <c r="H14" i="24"/>
  <c r="G14" i="24"/>
  <c r="G17" i="24" s="1"/>
  <c r="F14" i="24"/>
  <c r="E14" i="24"/>
  <c r="D14" i="24"/>
  <c r="H13" i="24"/>
  <c r="F13" i="24"/>
  <c r="E13" i="24"/>
  <c r="D13" i="24"/>
  <c r="H10" i="24"/>
  <c r="F10" i="24"/>
  <c r="E10" i="24"/>
  <c r="D10" i="24"/>
  <c r="H9" i="24"/>
  <c r="H17" i="24" s="1"/>
  <c r="H18" i="24" s="1"/>
  <c r="F9" i="24"/>
  <c r="E9" i="24"/>
  <c r="D9" i="24"/>
  <c r="H8" i="24"/>
  <c r="G8" i="24"/>
  <c r="H6" i="24"/>
  <c r="F6" i="24"/>
  <c r="F8" i="24" s="1"/>
  <c r="E6" i="24"/>
  <c r="E8" i="24" s="1"/>
  <c r="D6" i="24"/>
  <c r="D8" i="24" s="1"/>
  <c r="H16" i="23"/>
  <c r="F16" i="23"/>
  <c r="E16" i="23"/>
  <c r="D16" i="23"/>
  <c r="H15" i="23"/>
  <c r="F15" i="23"/>
  <c r="E15" i="23"/>
  <c r="D15" i="23"/>
  <c r="H14" i="23"/>
  <c r="G14" i="23"/>
  <c r="G17" i="23" s="1"/>
  <c r="G18" i="23" s="1"/>
  <c r="F14" i="23"/>
  <c r="E14" i="23"/>
  <c r="D14" i="23"/>
  <c r="H13" i="23"/>
  <c r="F13" i="23"/>
  <c r="E13" i="23"/>
  <c r="D13" i="23"/>
  <c r="H10" i="23"/>
  <c r="F10" i="23"/>
  <c r="E10" i="23"/>
  <c r="D10" i="23"/>
  <c r="H9" i="23"/>
  <c r="F9" i="23"/>
  <c r="E9" i="23"/>
  <c r="D9" i="23"/>
  <c r="G8" i="23"/>
  <c r="H6" i="23"/>
  <c r="H8" i="23" s="1"/>
  <c r="F6" i="23"/>
  <c r="F8" i="23" s="1"/>
  <c r="E6" i="23"/>
  <c r="E8" i="23" s="1"/>
  <c r="D6" i="23"/>
  <c r="D8" i="23" s="1"/>
  <c r="H16" i="22"/>
  <c r="F16" i="22"/>
  <c r="E16" i="22"/>
  <c r="D16" i="22"/>
  <c r="H15" i="22"/>
  <c r="F15" i="22"/>
  <c r="E15" i="22"/>
  <c r="D15" i="22"/>
  <c r="H14" i="22"/>
  <c r="G14" i="22"/>
  <c r="G17" i="22" s="1"/>
  <c r="F14" i="22"/>
  <c r="E14" i="22"/>
  <c r="D14" i="22"/>
  <c r="H13" i="22"/>
  <c r="F13" i="22"/>
  <c r="E13" i="22"/>
  <c r="D13" i="22"/>
  <c r="H10" i="22"/>
  <c r="F10" i="22"/>
  <c r="E10" i="22"/>
  <c r="D10" i="22"/>
  <c r="H9" i="22"/>
  <c r="H17" i="22" s="1"/>
  <c r="H18" i="22" s="1"/>
  <c r="F9" i="22"/>
  <c r="E9" i="22"/>
  <c r="E17" i="22" s="1"/>
  <c r="E18" i="22" s="1"/>
  <c r="D9" i="22"/>
  <c r="G8" i="22"/>
  <c r="H6" i="22"/>
  <c r="H8" i="22" s="1"/>
  <c r="F6" i="22"/>
  <c r="F8" i="22" s="1"/>
  <c r="E6" i="22"/>
  <c r="E8" i="22" s="1"/>
  <c r="D6" i="22"/>
  <c r="D8" i="22" s="1"/>
  <c r="D6" i="21"/>
  <c r="D8" i="21" s="1"/>
  <c r="E6" i="21"/>
  <c r="E8" i="21" s="1"/>
  <c r="F6" i="21"/>
  <c r="F8" i="21" s="1"/>
  <c r="H6" i="21"/>
  <c r="H8" i="21" s="1"/>
  <c r="G8" i="21"/>
  <c r="D9" i="21"/>
  <c r="E9" i="21"/>
  <c r="F9" i="21"/>
  <c r="H9" i="21"/>
  <c r="D10" i="21"/>
  <c r="E10" i="21"/>
  <c r="F10" i="21"/>
  <c r="H10" i="21"/>
  <c r="D13" i="21"/>
  <c r="E13" i="21"/>
  <c r="F13" i="21"/>
  <c r="H13" i="21"/>
  <c r="D14" i="21"/>
  <c r="E14" i="21"/>
  <c r="F14" i="21"/>
  <c r="G14" i="21"/>
  <c r="G17" i="21" s="1"/>
  <c r="G18" i="21" s="1"/>
  <c r="H14" i="21"/>
  <c r="D15" i="21"/>
  <c r="E15" i="21"/>
  <c r="F15" i="21"/>
  <c r="H15" i="21"/>
  <c r="D16" i="21"/>
  <c r="E16" i="21"/>
  <c r="F16" i="21"/>
  <c r="H16" i="21"/>
  <c r="H16" i="19"/>
  <c r="F16" i="19"/>
  <c r="E16" i="19"/>
  <c r="D16" i="19"/>
  <c r="H15" i="19"/>
  <c r="F15" i="19"/>
  <c r="E15" i="19"/>
  <c r="D15" i="19"/>
  <c r="H14" i="19"/>
  <c r="G14" i="19"/>
  <c r="G17" i="19" s="1"/>
  <c r="F14" i="19"/>
  <c r="E14" i="19"/>
  <c r="D14" i="19"/>
  <c r="H13" i="19"/>
  <c r="F13" i="19"/>
  <c r="E13" i="19"/>
  <c r="D13" i="19"/>
  <c r="H10" i="19"/>
  <c r="F10" i="19"/>
  <c r="E10" i="19"/>
  <c r="D10" i="19"/>
  <c r="H9" i="19"/>
  <c r="H17" i="19" s="1"/>
  <c r="H18" i="19" s="1"/>
  <c r="F9" i="19"/>
  <c r="F17" i="19" s="1"/>
  <c r="F18" i="19" s="1"/>
  <c r="E9" i="19"/>
  <c r="E17" i="19" s="1"/>
  <c r="E18" i="19" s="1"/>
  <c r="D9" i="19"/>
  <c r="G8" i="19"/>
  <c r="H6" i="19"/>
  <c r="H8" i="19" s="1"/>
  <c r="F6" i="19"/>
  <c r="F8" i="19" s="1"/>
  <c r="E6" i="19"/>
  <c r="E8" i="19" s="1"/>
  <c r="D6" i="19"/>
  <c r="D8" i="19" s="1"/>
  <c r="H16" i="18"/>
  <c r="F16" i="18"/>
  <c r="E16" i="18"/>
  <c r="D16" i="18"/>
  <c r="H15" i="18"/>
  <c r="F15" i="18"/>
  <c r="E15" i="18"/>
  <c r="D15" i="18"/>
  <c r="H14" i="18"/>
  <c r="G14" i="18"/>
  <c r="G17" i="18" s="1"/>
  <c r="F14" i="18"/>
  <c r="E14" i="18"/>
  <c r="D14" i="18"/>
  <c r="H13" i="18"/>
  <c r="F13" i="18"/>
  <c r="E13" i="18"/>
  <c r="D13" i="18"/>
  <c r="H10" i="18"/>
  <c r="F10" i="18"/>
  <c r="E10" i="18"/>
  <c r="D10" i="18"/>
  <c r="H9" i="18"/>
  <c r="H17" i="18" s="1"/>
  <c r="F9" i="18"/>
  <c r="F17" i="18" s="1"/>
  <c r="E9" i="18"/>
  <c r="D9" i="18"/>
  <c r="G8" i="18"/>
  <c r="H6" i="18"/>
  <c r="H8" i="18" s="1"/>
  <c r="F6" i="18"/>
  <c r="F8" i="18" s="1"/>
  <c r="E6" i="18"/>
  <c r="E8" i="18" s="1"/>
  <c r="D6" i="18"/>
  <c r="D8" i="18" s="1"/>
  <c r="E17" i="24" l="1"/>
  <c r="E18" i="24" s="1"/>
  <c r="F17" i="24"/>
  <c r="F18" i="24" s="1"/>
  <c r="G18" i="24"/>
  <c r="D17" i="24"/>
  <c r="D18" i="24" s="1"/>
  <c r="E17" i="23"/>
  <c r="E18" i="23" s="1"/>
  <c r="F17" i="23"/>
  <c r="F18" i="23" s="1"/>
  <c r="H17" i="23"/>
  <c r="H18" i="23" s="1"/>
  <c r="D17" i="23"/>
  <c r="D18" i="23" s="1"/>
  <c r="F17" i="22"/>
  <c r="F18" i="22" s="1"/>
  <c r="G18" i="22"/>
  <c r="D17" i="22"/>
  <c r="D18" i="22"/>
  <c r="H17" i="21"/>
  <c r="H18" i="21" s="1"/>
  <c r="F17" i="21"/>
  <c r="F18" i="21" s="1"/>
  <c r="D17" i="21"/>
  <c r="D18" i="21" s="1"/>
  <c r="E17" i="21"/>
  <c r="E18" i="21" s="1"/>
  <c r="G18" i="19"/>
  <c r="D17" i="19"/>
  <c r="D18" i="19" s="1"/>
  <c r="H18" i="18"/>
  <c r="E17" i="18"/>
  <c r="E18" i="18" s="1"/>
  <c r="F18" i="18"/>
  <c r="G18" i="18"/>
  <c r="D17" i="18"/>
  <c r="D18" i="18" s="1"/>
</calcChain>
</file>

<file path=xl/sharedStrings.xml><?xml version="1.0" encoding="utf-8"?>
<sst xmlns="http://schemas.openxmlformats.org/spreadsheetml/2006/main" count="351" uniqueCount="43">
  <si>
    <t>Term
Type</t>
  </si>
  <si>
    <t>Product
Type</t>
  </si>
  <si>
    <t>ST-Debt</t>
  </si>
  <si>
    <t>ST - Other - Non-Callable - Floating</t>
  </si>
  <si>
    <t>Total Short Term Funding Term</t>
  </si>
  <si>
    <t>Benchmark Notes &amp; Bonds</t>
  </si>
  <si>
    <t>Callable Fixed Rate MTN</t>
  </si>
  <si>
    <t>Callable Floating Rate MTN</t>
  </si>
  <si>
    <t>Inv Agrmnts</t>
  </si>
  <si>
    <t>LT - CAS</t>
  </si>
  <si>
    <t>LT - FX Debt</t>
  </si>
  <si>
    <t>Non-Callable Fixed Rate MTN</t>
  </si>
  <si>
    <t>Non-Callable Floating Rate MTN</t>
  </si>
  <si>
    <t>Total Long Term Funding Debt</t>
  </si>
  <si>
    <t>Month Beginning 
Balance</t>
  </si>
  <si>
    <t>Total Issuances
(+)</t>
  </si>
  <si>
    <t>Total Redemptions
(-)</t>
  </si>
  <si>
    <t>FX Translation Gain/Loss &amp; Re-Classes
(-/+)</t>
  </si>
  <si>
    <t>Month End Balance</t>
  </si>
  <si>
    <t>Short Term (ST)</t>
  </si>
  <si>
    <t>Long Term (LT)</t>
  </si>
  <si>
    <t>Total ST Funding + LT Funding Debt</t>
  </si>
  <si>
    <t>ENDNOTES:</t>
  </si>
  <si>
    <t>*Other forms of indebtedness may not be included, such as repo repositions</t>
  </si>
  <si>
    <t xml:space="preserve">Investment Agreements (IA) is a debt obligation of Fannie Mae, where a Lender will invest funds with Fannie and earn a specified rate of return.  </t>
  </si>
  <si>
    <t xml:space="preserve">This information is being provided for informational purposes only and all figures are based on unaudited internal reports and are subject to change.  Although Fannie Mae reasonably attempts to ensure the accuracy of the information it posts, no representation or warranty, express or implied, is or will be made in relation to the accuracy, reliability or completeness of the information contained herein or of any underlying calculations or assumptions used to generate such information. Fannie Mae does not assume any responsibility or obligation to update or revise any information set forth herein, regardless of whether the information has been revised or updated elsewhere or has been affected by new information, future events, or otherwise. No liability whatsoever is or will be accepted by Fannie Mae for any loss or damage howsoever arising out of or in connection with the use of, or reliance upon, the information contained herein.  Although Fannie Mae may post and update data in a regularly scheduled manner, Fannie Mae does not represent that it will regularly post or update this data, and Fannie Mae reserves the right to remove or revise previously posted data at any time.  </t>
  </si>
  <si>
    <t xml:space="preserve">      CAS debt is recognized as “debt of Fannie Mae” in our consolidated balance sheets. CAS debt issued to investors beginning January 2016 through October 2018 is recognized at amortized cost. CAS debt we issued prior to 2016 is recognized at fair value.</t>
  </si>
  <si>
    <t>DISCLAIMER</t>
  </si>
  <si>
    <t>January 2022</t>
  </si>
  <si>
    <t xml:space="preserve"> The Funding Summary  is not adjusted for the CAS buybacks ( $22.3M for Jan'22)</t>
  </si>
  <si>
    <t>February 2022</t>
  </si>
  <si>
    <t xml:space="preserve"> The Funding Summary  is not adjusted for the CAS buybacks ( $21.4M for Feb '22)</t>
  </si>
  <si>
    <t>March 2022</t>
  </si>
  <si>
    <t>April 2022</t>
  </si>
  <si>
    <t>May 2022</t>
  </si>
  <si>
    <t>June 2022</t>
  </si>
  <si>
    <t>July 2022</t>
  </si>
  <si>
    <t>August 2022</t>
  </si>
  <si>
    <t>September 2022</t>
  </si>
  <si>
    <t>October 2022</t>
  </si>
  <si>
    <t>November 2022</t>
  </si>
  <si>
    <t>December 2022</t>
  </si>
  <si>
    <t>ST-Debt Callable Fixed Rate MTN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</si>
</sst>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3" formatCode="_(* #,##0.00_);_(* \(#,##0.00\);_(* &quot;-&quot;??_);_(@_)"/>
  </numFmts>
  <fonts count="18" x14ac:knownFonts="1">
    <font>
      <sz val="10"/>
      <color rgb="FF000000"/>
      <name val="Arial"/>
    </font>
    <font>
      <sz val="10"/>
      <color rgb="FF333333"/>
      <name val="Source Sans Pro"/>
      <family val="2"/>
    </font>
    <font>
      <b/>
      <sz val="9"/>
      <color rgb="FF333333"/>
      <name val="Source Sans Pro"/>
      <family val="2"/>
    </font>
    <font>
      <sz val="9"/>
      <color rgb="FF333333"/>
      <name val="Source Sans Pro"/>
      <family val="2"/>
    </font>
    <font>
      <sz val="9"/>
      <color rgb="FF333333"/>
      <name val="Arial"/>
      <family val="2"/>
    </font>
    <font>
      <sz val="10"/>
      <color rgb="FF000000"/>
      <name val="Source Sans Pro"/>
      <family val="2"/>
    </font>
    <font>
      <b/>
      <u/>
      <sz val="12"/>
      <color rgb="FF333333"/>
      <name val="Source Sans Pro"/>
      <family val="2"/>
    </font>
    <font>
      <b/>
      <sz val="18"/>
      <color rgb="FF333333"/>
      <name val="Source Sans Pro"/>
      <family val="2"/>
    </font>
    <font>
      <b/>
      <sz val="12"/>
      <color rgb="FFFFFFFF"/>
      <name val="Source Sans Pro"/>
      <family val="2"/>
    </font>
    <font>
      <b/>
      <sz val="12"/>
      <color rgb="FF333333"/>
      <name val="Source Sans Pro"/>
      <family val="2"/>
    </font>
    <font>
      <sz val="12"/>
      <color rgb="FF333333"/>
      <name val="Source Sans Pro"/>
      <family val="2"/>
    </font>
    <font>
      <sz val="9"/>
      <name val="Arial"/>
      <family val="2"/>
    </font>
    <font>
      <b/>
      <sz val="12"/>
      <color theme="0"/>
      <name val="Source Sans Pro"/>
      <family val="2"/>
    </font>
    <font>
      <b/>
      <sz val="12"/>
      <color rgb="FF000000"/>
      <name val="Source Sans Pro"/>
      <family val="2"/>
    </font>
    <font>
      <i/>
      <sz val="10"/>
      <color rgb="FF000000"/>
      <name val="Source Sans Pro"/>
      <family val="2"/>
    </font>
    <font>
      <b/>
      <sz val="10"/>
      <color rgb="FF000000"/>
      <name val="Source Sans Pro"/>
      <family val="2"/>
    </font>
    <font>
      <sz val="10"/>
      <color rgb="FF000000"/>
      <name val="Arial"/>
      <family val="2"/>
    </font>
    <font>
      <sz val="11"/>
      <color rgb="FF000000"/>
      <name val="Calibri"/>
      <family val="2"/>
    </font>
  </fonts>
  <fills count="6">
    <fill>
      <patternFill patternType="none"/>
    </fill>
    <fill>
      <patternFill patternType="gray125"/>
    </fill>
    <fill>
      <patternFill patternType="solid">
        <fgColor rgb="FFFFFFFF"/>
        <bgColor rgb="FFFFFFFF"/>
      </patternFill>
    </fill>
    <fill>
      <patternFill patternType="solid">
        <fgColor rgb="FF254061"/>
        <bgColor rgb="FFFFFFFF"/>
      </patternFill>
    </fill>
    <fill>
      <patternFill patternType="solid">
        <fgColor rgb="FFC0C0C0"/>
        <bgColor rgb="FFFFFFFF"/>
      </patternFill>
    </fill>
    <fill>
      <patternFill patternType="solid">
        <fgColor theme="0" tint="-0.499984740745262"/>
        <bgColor indexed="64"/>
      </patternFill>
    </fill>
  </fills>
  <borders count="16">
    <border>
      <left/>
      <right/>
      <top/>
      <bottom/>
      <diagonal/>
    </border>
    <border>
      <left style="thin">
        <color rgb="FFEBEBEB"/>
      </left>
      <right style="thin">
        <color rgb="FFEBEBEB"/>
      </right>
      <top style="thin">
        <color rgb="FFCAC9D9"/>
      </top>
      <bottom style="thin">
        <color rgb="FFEBEBEB"/>
      </bottom>
      <diagonal/>
    </border>
    <border>
      <left style="medium">
        <color indexed="64"/>
      </left>
      <right style="thin">
        <color rgb="FF3877A6"/>
      </right>
      <top style="medium">
        <color indexed="64"/>
      </top>
      <bottom style="thin">
        <color rgb="FFA5A5B1"/>
      </bottom>
      <diagonal/>
    </border>
    <border>
      <left style="thin">
        <color rgb="FF3877A6"/>
      </left>
      <right style="thin">
        <color rgb="FF3877A6"/>
      </right>
      <top style="medium">
        <color indexed="64"/>
      </top>
      <bottom style="thin">
        <color rgb="FFA5A5B1"/>
      </bottom>
      <diagonal/>
    </border>
    <border>
      <left style="thin">
        <color rgb="FF3877A6"/>
      </left>
      <right style="medium">
        <color indexed="64"/>
      </right>
      <top style="medium">
        <color indexed="64"/>
      </top>
      <bottom style="thin">
        <color rgb="FFA5A5B1"/>
      </bottom>
      <diagonal/>
    </border>
    <border>
      <left style="medium">
        <color indexed="64"/>
      </left>
      <right style="thin">
        <color rgb="FFEBEBEB"/>
      </right>
      <top style="thin">
        <color rgb="FFCAC9D9"/>
      </top>
      <bottom/>
      <diagonal/>
    </border>
    <border>
      <left style="thin">
        <color rgb="FFEBEBEB"/>
      </left>
      <right style="medium">
        <color indexed="64"/>
      </right>
      <top style="thin">
        <color rgb="FFCAC9D9"/>
      </top>
      <bottom style="thin">
        <color rgb="FFEBEBEB"/>
      </bottom>
      <diagonal/>
    </border>
    <border>
      <left style="medium">
        <color indexed="64"/>
      </left>
      <right style="thin">
        <color rgb="FFEBEBEB"/>
      </right>
      <top/>
      <bottom style="thin">
        <color rgb="FFCAC9D9"/>
      </bottom>
      <diagonal/>
    </border>
    <border>
      <left style="medium">
        <color indexed="64"/>
      </left>
      <right style="thin">
        <color rgb="FFEBEBEB"/>
      </right>
      <top style="thin">
        <color rgb="FFCAC9D9"/>
      </top>
      <bottom style="thin">
        <color rgb="FFEBEBEB"/>
      </bottom>
      <diagonal/>
    </border>
    <border>
      <left style="medium">
        <color indexed="64"/>
      </left>
      <right style="thin">
        <color rgb="FFEBEBEB"/>
      </right>
      <top/>
      <bottom/>
      <diagonal/>
    </border>
    <border>
      <left style="thin">
        <color rgb="FFEBEBEB"/>
      </left>
      <right style="thin">
        <color rgb="FFEBEBEB"/>
      </right>
      <top style="thin">
        <color rgb="FFCAC9D9"/>
      </top>
      <bottom/>
      <diagonal/>
    </border>
    <border>
      <left style="medium">
        <color indexed="64"/>
      </left>
      <right/>
      <top style="thin">
        <color indexed="64"/>
      </top>
      <bottom style="medium">
        <color indexed="64"/>
      </bottom>
      <diagonal/>
    </border>
    <border>
      <left/>
      <right style="thin">
        <color rgb="FFEBEBEB"/>
      </right>
      <top style="thin">
        <color indexed="64"/>
      </top>
      <bottom style="medium">
        <color indexed="64"/>
      </bottom>
      <diagonal/>
    </border>
    <border>
      <left style="thin">
        <color rgb="FFEBEBEB"/>
      </left>
      <right style="thin">
        <color rgb="FFEBEBEB"/>
      </right>
      <top style="thin">
        <color indexed="64"/>
      </top>
      <bottom style="medium">
        <color indexed="64"/>
      </bottom>
      <diagonal/>
    </border>
    <border>
      <left style="thin">
        <color rgb="FFEBEBEB"/>
      </left>
      <right style="medium">
        <color indexed="64"/>
      </right>
      <top style="thin">
        <color rgb="FFCAC9D9"/>
      </top>
      <bottom/>
      <diagonal/>
    </border>
    <border>
      <left style="thin">
        <color rgb="FFEBEBEB"/>
      </left>
      <right style="medium">
        <color indexed="64"/>
      </right>
      <top style="thin">
        <color indexed="64"/>
      </top>
      <bottom style="medium">
        <color indexed="64"/>
      </bottom>
      <diagonal/>
    </border>
  </borders>
  <cellStyleXfs count="4">
    <xf numFmtId="0" fontId="0" fillId="0" borderId="0"/>
    <xf numFmtId="0" fontId="16" fillId="0" borderId="0"/>
    <xf numFmtId="43" fontId="16" fillId="0" borderId="0" applyFont="0" applyFill="0" applyBorder="0" applyAlignment="0" applyProtection="0"/>
    <xf numFmtId="0" fontId="16" fillId="0" borderId="0"/>
  </cellStyleXfs>
  <cellXfs count="92">
    <xf numFmtId="0" fontId="0" fillId="0" borderId="0" xfId="0"/>
    <xf numFmtId="0" fontId="5" fillId="0" borderId="0" xfId="3" applyFont="1"/>
    <xf numFmtId="0" fontId="8" fillId="3" borderId="2" xfId="1" applyFont="1" applyFill="1" applyBorder="1" applyAlignment="1">
      <alignment horizontal="center" vertical="center" wrapText="1"/>
    </xf>
    <xf numFmtId="37" fontId="8" fillId="3" borderId="3" xfId="1" applyNumberFormat="1" applyFont="1" applyFill="1" applyBorder="1" applyAlignment="1">
      <alignment horizontal="center" vertical="center" wrapText="1"/>
    </xf>
    <xf numFmtId="42" fontId="8" fillId="3" borderId="3" xfId="1" applyNumberFormat="1" applyFont="1" applyFill="1" applyBorder="1" applyAlignment="1">
      <alignment horizontal="center" vertical="center" wrapText="1"/>
    </xf>
    <xf numFmtId="42" fontId="8" fillId="3" borderId="4" xfId="1" applyNumberFormat="1" applyFont="1" applyFill="1" applyBorder="1" applyAlignment="1">
      <alignment horizontal="center" vertical="center" wrapText="1"/>
    </xf>
    <xf numFmtId="37" fontId="10" fillId="0" borderId="1" xfId="1" applyNumberFormat="1" applyFont="1" applyBorder="1" applyAlignment="1">
      <alignment horizontal="left" wrapText="1"/>
    </xf>
    <xf numFmtId="42" fontId="10" fillId="0" borderId="1" xfId="1" applyNumberFormat="1" applyFont="1" applyBorder="1" applyAlignment="1">
      <alignment horizontal="right" wrapText="1"/>
    </xf>
    <xf numFmtId="42" fontId="10" fillId="0" borderId="6" xfId="1" applyNumberFormat="1" applyFont="1" applyBorder="1" applyAlignment="1">
      <alignment horizontal="right" wrapText="1"/>
    </xf>
    <xf numFmtId="42" fontId="9" fillId="4" borderId="1" xfId="1" applyNumberFormat="1" applyFont="1" applyFill="1" applyBorder="1" applyAlignment="1">
      <alignment horizontal="right" wrapText="1"/>
    </xf>
    <xf numFmtId="42" fontId="9" fillId="4" borderId="6" xfId="1" applyNumberFormat="1" applyFont="1" applyFill="1" applyBorder="1" applyAlignment="1">
      <alignment horizontal="right" wrapText="1"/>
    </xf>
    <xf numFmtId="42" fontId="9" fillId="4" borderId="10" xfId="1" applyNumberFormat="1" applyFont="1" applyFill="1" applyBorder="1" applyAlignment="1">
      <alignment horizontal="right" wrapText="1"/>
    </xf>
    <xf numFmtId="42" fontId="9" fillId="4" borderId="14" xfId="1" applyNumberFormat="1" applyFont="1" applyFill="1" applyBorder="1" applyAlignment="1">
      <alignment horizontal="right" wrapText="1"/>
    </xf>
    <xf numFmtId="42" fontId="12" fillId="5" borderId="13" xfId="1" applyNumberFormat="1" applyFont="1" applyFill="1" applyBorder="1" applyAlignment="1">
      <alignment horizontal="right" wrapText="1"/>
    </xf>
    <xf numFmtId="42" fontId="12" fillId="5" borderId="15" xfId="1" applyNumberFormat="1" applyFont="1" applyFill="1" applyBorder="1" applyAlignment="1">
      <alignment horizontal="right" wrapText="1"/>
    </xf>
    <xf numFmtId="0" fontId="13" fillId="0" borderId="0" xfId="3" applyFont="1"/>
    <xf numFmtId="37" fontId="5" fillId="0" borderId="0" xfId="3" applyNumberFormat="1" applyFont="1"/>
    <xf numFmtId="42" fontId="16" fillId="0" borderId="0" xfId="3" applyNumberFormat="1"/>
    <xf numFmtId="0" fontId="16" fillId="0" borderId="0" xfId="3"/>
    <xf numFmtId="0" fontId="14" fillId="0" borderId="0" xfId="1" applyFont="1"/>
    <xf numFmtId="42" fontId="5" fillId="0" borderId="0" xfId="3" applyNumberFormat="1" applyFont="1"/>
    <xf numFmtId="0" fontId="14" fillId="0" borderId="0" xfId="3" applyFont="1" applyAlignment="1">
      <alignment horizontal="left" vertical="center" indent="3"/>
    </xf>
    <xf numFmtId="0" fontId="15" fillId="0" borderId="0" xfId="3" applyFont="1"/>
    <xf numFmtId="0" fontId="1" fillId="2" borderId="0" xfId="1" applyFont="1" applyFill="1" applyAlignment="1">
      <alignment horizontal="left"/>
    </xf>
    <xf numFmtId="0" fontId="2" fillId="2" borderId="0" xfId="1" applyFont="1" applyFill="1" applyAlignment="1">
      <alignment horizontal="left"/>
    </xf>
    <xf numFmtId="37" fontId="3" fillId="2" borderId="0" xfId="1" applyNumberFormat="1" applyFont="1" applyFill="1" applyAlignment="1">
      <alignment horizontal="left"/>
    </xf>
    <xf numFmtId="42" fontId="4" fillId="2" borderId="0" xfId="1" applyNumberFormat="1" applyFont="1" applyFill="1" applyAlignment="1">
      <alignment horizontal="left"/>
    </xf>
    <xf numFmtId="0" fontId="4" fillId="2" borderId="0" xfId="1" applyFont="1" applyFill="1" applyAlignment="1">
      <alignment horizontal="left"/>
    </xf>
    <xf numFmtId="0" fontId="5" fillId="0" borderId="0" xfId="1" applyFont="1"/>
    <xf numFmtId="0" fontId="6" fillId="2" borderId="0" xfId="1" applyFont="1" applyFill="1" applyAlignment="1">
      <alignment vertical="center"/>
    </xf>
    <xf numFmtId="42" fontId="11" fillId="2" borderId="0" xfId="1" applyNumberFormat="1" applyFont="1" applyFill="1" applyAlignment="1">
      <alignment horizontal="left"/>
    </xf>
    <xf numFmtId="37" fontId="5" fillId="0" borderId="0" xfId="1" applyNumberFormat="1" applyFont="1"/>
    <xf numFmtId="42" fontId="16" fillId="0" borderId="0" xfId="1" applyNumberFormat="1"/>
    <xf numFmtId="0" fontId="16" fillId="0" borderId="0" xfId="1"/>
    <xf numFmtId="0" fontId="15" fillId="0" borderId="0" xfId="1" applyFont="1"/>
    <xf numFmtId="0" fontId="1" fillId="0" borderId="0" xfId="1" applyFont="1" applyAlignment="1">
      <alignment horizontal="left"/>
    </xf>
    <xf numFmtId="0" fontId="4" fillId="0" borderId="0" xfId="1" applyFont="1" applyAlignment="1">
      <alignment horizontal="left"/>
    </xf>
    <xf numFmtId="0" fontId="1" fillId="2" borderId="0" xfId="0" applyFont="1" applyFill="1" applyAlignment="1">
      <alignment horizontal="left"/>
    </xf>
    <xf numFmtId="0" fontId="2" fillId="2" borderId="0" xfId="0" applyFont="1" applyFill="1" applyAlignment="1">
      <alignment horizontal="left"/>
    </xf>
    <xf numFmtId="37" fontId="3" fillId="2" borderId="0" xfId="0" applyNumberFormat="1" applyFont="1" applyFill="1" applyAlignment="1">
      <alignment horizontal="left"/>
    </xf>
    <xf numFmtId="42" fontId="4" fillId="2" borderId="0" xfId="0" applyNumberFormat="1" applyFont="1" applyFill="1" applyAlignment="1">
      <alignment horizontal="left"/>
    </xf>
    <xf numFmtId="0" fontId="4" fillId="2" borderId="0" xfId="0" applyFont="1" applyFill="1" applyAlignment="1">
      <alignment horizontal="left"/>
    </xf>
    <xf numFmtId="0" fontId="5" fillId="0" borderId="0" xfId="0" applyFont="1"/>
    <xf numFmtId="0" fontId="6" fillId="2" borderId="0" xfId="0" applyFont="1" applyFill="1" applyAlignment="1">
      <alignment vertical="center"/>
    </xf>
    <xf numFmtId="0" fontId="8" fillId="3" borderId="2" xfId="0" applyFont="1" applyFill="1" applyBorder="1" applyAlignment="1">
      <alignment horizontal="center" vertical="center" wrapText="1"/>
    </xf>
    <xf numFmtId="37" fontId="8" fillId="3" borderId="3" xfId="0" applyNumberFormat="1" applyFont="1" applyFill="1" applyBorder="1" applyAlignment="1">
      <alignment horizontal="center" vertical="center" wrapText="1"/>
    </xf>
    <xf numFmtId="42" fontId="8" fillId="3" borderId="3" xfId="0" applyNumberFormat="1" applyFont="1" applyFill="1" applyBorder="1" applyAlignment="1">
      <alignment horizontal="center" vertical="center" wrapText="1"/>
    </xf>
    <xf numFmtId="42" fontId="8" fillId="3" borderId="4" xfId="0" applyNumberFormat="1" applyFont="1" applyFill="1" applyBorder="1" applyAlignment="1">
      <alignment horizontal="center" vertical="center" wrapText="1"/>
    </xf>
    <xf numFmtId="37" fontId="10" fillId="0" borderId="1" xfId="0" applyNumberFormat="1" applyFont="1" applyBorder="1" applyAlignment="1">
      <alignment horizontal="left" wrapText="1"/>
    </xf>
    <xf numFmtId="42" fontId="10" fillId="0" borderId="1" xfId="0" applyNumberFormat="1" applyFont="1" applyBorder="1" applyAlignment="1">
      <alignment horizontal="right" wrapText="1"/>
    </xf>
    <xf numFmtId="42" fontId="10" fillId="0" borderId="6" xfId="0" applyNumberFormat="1" applyFont="1" applyBorder="1" applyAlignment="1">
      <alignment horizontal="right" wrapText="1"/>
    </xf>
    <xf numFmtId="42" fontId="9" fillId="4" borderId="1" xfId="0" applyNumberFormat="1" applyFont="1" applyFill="1" applyBorder="1" applyAlignment="1">
      <alignment horizontal="right" wrapText="1"/>
    </xf>
    <xf numFmtId="42" fontId="9" fillId="4" borderId="6" xfId="0" applyNumberFormat="1" applyFont="1" applyFill="1" applyBorder="1" applyAlignment="1">
      <alignment horizontal="right" wrapText="1"/>
    </xf>
    <xf numFmtId="0" fontId="1" fillId="0" borderId="0" xfId="0" applyFont="1" applyAlignment="1">
      <alignment horizontal="left"/>
    </xf>
    <xf numFmtId="0" fontId="4" fillId="0" borderId="0" xfId="0" applyFont="1" applyAlignment="1">
      <alignment horizontal="left"/>
    </xf>
    <xf numFmtId="42" fontId="11" fillId="2" borderId="0" xfId="0" applyNumberFormat="1" applyFont="1" applyFill="1" applyAlignment="1">
      <alignment horizontal="left"/>
    </xf>
    <xf numFmtId="42" fontId="9" fillId="4" borderId="10" xfId="0" applyNumberFormat="1" applyFont="1" applyFill="1" applyBorder="1" applyAlignment="1">
      <alignment horizontal="right" wrapText="1"/>
    </xf>
    <xf numFmtId="42" fontId="9" fillId="4" borderId="14" xfId="0" applyNumberFormat="1" applyFont="1" applyFill="1" applyBorder="1" applyAlignment="1">
      <alignment horizontal="right" wrapText="1"/>
    </xf>
    <xf numFmtId="42" fontId="12" fillId="5" borderId="13" xfId="0" applyNumberFormat="1" applyFont="1" applyFill="1" applyBorder="1" applyAlignment="1">
      <alignment horizontal="right" wrapText="1"/>
    </xf>
    <xf numFmtId="42" fontId="12" fillId="5" borderId="15" xfId="0" applyNumberFormat="1" applyFont="1" applyFill="1" applyBorder="1" applyAlignment="1">
      <alignment horizontal="right" wrapText="1"/>
    </xf>
    <xf numFmtId="37" fontId="5" fillId="0" borderId="0" xfId="0" applyNumberFormat="1" applyFont="1"/>
    <xf numFmtId="42" fontId="0" fillId="0" borderId="0" xfId="0" applyNumberFormat="1"/>
    <xf numFmtId="0" fontId="15" fillId="0" borderId="0" xfId="0" applyFont="1"/>
    <xf numFmtId="0" fontId="14" fillId="0" borderId="0" xfId="3" applyFont="1" applyAlignment="1">
      <alignment horizontal="left" vertical="center" wrapText="1"/>
    </xf>
    <xf numFmtId="0" fontId="14" fillId="0" borderId="0" xfId="3" applyFont="1" applyAlignment="1">
      <alignment horizontal="left" vertical="center" wrapText="1"/>
    </xf>
    <xf numFmtId="0" fontId="14" fillId="0" borderId="0" xfId="3" applyFont="1" applyAlignment="1">
      <alignment horizontal="left" vertical="center" wrapText="1"/>
    </xf>
    <xf numFmtId="0" fontId="14" fillId="0" borderId="0" xfId="3" applyFont="1" applyAlignment="1">
      <alignment horizontal="left" vertical="center" wrapText="1"/>
    </xf>
    <xf numFmtId="0" fontId="17" fillId="0" borderId="0" xfId="0" applyFont="1" applyAlignment="1">
      <alignment wrapText="1"/>
    </xf>
    <xf numFmtId="0" fontId="14" fillId="0" borderId="0" xfId="3" applyFont="1" applyAlignment="1">
      <alignment horizontal="left" vertical="center" wrapText="1"/>
    </xf>
    <xf numFmtId="49" fontId="9" fillId="0" borderId="9" xfId="0" applyNumberFormat="1" applyFont="1" applyBorder="1" applyAlignment="1">
      <alignment horizontal="center" vertical="center" wrapText="1"/>
    </xf>
    <xf numFmtId="0" fontId="14" fillId="0" borderId="0" xfId="3" applyFont="1" applyAlignment="1">
      <alignment horizontal="left" vertical="center" wrapText="1"/>
    </xf>
    <xf numFmtId="0" fontId="5" fillId="0" borderId="0" xfId="3" applyFont="1" applyAlignment="1">
      <alignment horizontal="left" wrapText="1"/>
    </xf>
    <xf numFmtId="49" fontId="7" fillId="2" borderId="0" xfId="1" applyNumberFormat="1" applyFont="1" applyFill="1" applyAlignment="1">
      <alignment horizontal="center"/>
    </xf>
    <xf numFmtId="49" fontId="9" fillId="0" borderId="5" xfId="1" applyNumberFormat="1" applyFont="1" applyBorder="1" applyAlignment="1">
      <alignment horizontal="center" vertical="center" wrapText="1"/>
    </xf>
    <xf numFmtId="49" fontId="9" fillId="0" borderId="7" xfId="1" applyNumberFormat="1" applyFont="1" applyBorder="1" applyAlignment="1">
      <alignment horizontal="center" vertical="center" wrapText="1"/>
    </xf>
    <xf numFmtId="49" fontId="9" fillId="4" borderId="8" xfId="1" applyNumberFormat="1" applyFont="1" applyFill="1" applyBorder="1" applyAlignment="1">
      <alignment horizontal="left" vertical="center" wrapText="1"/>
    </xf>
    <xf numFmtId="49" fontId="9" fillId="4" borderId="1" xfId="1" applyNumberFormat="1" applyFont="1" applyFill="1" applyBorder="1" applyAlignment="1">
      <alignment horizontal="left" vertical="center" wrapText="1"/>
    </xf>
    <xf numFmtId="49" fontId="9" fillId="0" borderId="9" xfId="1" applyNumberFormat="1" applyFont="1" applyBorder="1" applyAlignment="1">
      <alignment horizontal="center" vertical="center" wrapText="1"/>
    </xf>
    <xf numFmtId="49" fontId="9" fillId="4" borderId="5" xfId="1" applyNumberFormat="1" applyFont="1" applyFill="1" applyBorder="1" applyAlignment="1">
      <alignment horizontal="left" vertical="center" wrapText="1"/>
    </xf>
    <xf numFmtId="49" fontId="9" fillId="4" borderId="10" xfId="1" applyNumberFormat="1" applyFont="1" applyFill="1" applyBorder="1" applyAlignment="1">
      <alignment horizontal="left" vertical="center" wrapText="1"/>
    </xf>
    <xf numFmtId="49" fontId="12" fillId="5" borderId="11" xfId="1" applyNumberFormat="1" applyFont="1" applyFill="1" applyBorder="1" applyAlignment="1">
      <alignment horizontal="left" vertical="center" wrapText="1"/>
    </xf>
    <xf numFmtId="49" fontId="12" fillId="5" borderId="12" xfId="1" applyNumberFormat="1" applyFont="1" applyFill="1" applyBorder="1" applyAlignment="1">
      <alignment horizontal="left" vertical="center" wrapText="1"/>
    </xf>
    <xf numFmtId="49" fontId="7" fillId="2" borderId="0" xfId="0" applyNumberFormat="1" applyFont="1" applyFill="1" applyAlignment="1">
      <alignment horizontal="center"/>
    </xf>
    <xf numFmtId="49" fontId="9" fillId="0" borderId="5"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4" borderId="8" xfId="0" applyNumberFormat="1" applyFont="1" applyFill="1" applyBorder="1" applyAlignment="1">
      <alignment horizontal="left" vertical="center" wrapText="1"/>
    </xf>
    <xf numFmtId="49" fontId="9" fillId="4" borderId="1" xfId="0" applyNumberFormat="1" applyFont="1" applyFill="1" applyBorder="1" applyAlignment="1">
      <alignment horizontal="left" vertical="center" wrapText="1"/>
    </xf>
    <xf numFmtId="49" fontId="9" fillId="0" borderId="9" xfId="0" applyNumberFormat="1" applyFont="1" applyBorder="1" applyAlignment="1">
      <alignment horizontal="center" vertical="center" wrapText="1"/>
    </xf>
    <xf numFmtId="49" fontId="9" fillId="4" borderId="5" xfId="0" applyNumberFormat="1" applyFont="1" applyFill="1" applyBorder="1" applyAlignment="1">
      <alignment horizontal="left" vertical="center" wrapText="1"/>
    </xf>
    <xf numFmtId="49" fontId="9" fillId="4" borderId="10" xfId="0" applyNumberFormat="1" applyFont="1" applyFill="1" applyBorder="1" applyAlignment="1">
      <alignment horizontal="left" vertical="center" wrapText="1"/>
    </xf>
    <xf numFmtId="49" fontId="12" fillId="5" borderId="11" xfId="0" applyNumberFormat="1" applyFont="1" applyFill="1" applyBorder="1" applyAlignment="1">
      <alignment horizontal="left" vertical="center" wrapText="1"/>
    </xf>
    <xf numFmtId="49" fontId="12" fillId="5" borderId="12" xfId="0" applyNumberFormat="1" applyFont="1" applyFill="1" applyBorder="1" applyAlignment="1">
      <alignment horizontal="left" vertical="center" wrapText="1"/>
    </xf>
  </cellXfs>
  <cellStyles count="4">
    <cellStyle name="Comma 2" xfId="2" xr:uid="{B8E1AE3D-6BD4-426C-9E5B-5DB6046869E0}"/>
    <cellStyle name="Normal" xfId="0" builtinId="0"/>
    <cellStyle name="Normal 2" xfId="1" xr:uid="{BA6D9BE8-1FBF-4CDF-8A49-5716D718FB96}"/>
    <cellStyle name="Normal 2 2" xfId="3" xr:uid="{82DC7AD7-8C86-4FDA-A97F-C2F18061F0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3063</xdr:rowOff>
    </xdr:to>
    <xdr:pic>
      <xdr:nvPicPr>
        <xdr:cNvPr id="2" name="Picture 1">
          <a:extLst>
            <a:ext uri="{FF2B5EF4-FFF2-40B4-BE49-F238E27FC236}">
              <a16:creationId xmlns:a16="http://schemas.microsoft.com/office/drawing/2014/main" id="{9DE56218-39BD-4356-BCC1-839BFCA5B4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1494</xdr:rowOff>
    </xdr:to>
    <xdr:pic>
      <xdr:nvPicPr>
        <xdr:cNvPr id="2" name="Picture 1">
          <a:extLst>
            <a:ext uri="{FF2B5EF4-FFF2-40B4-BE49-F238E27FC236}">
              <a16:creationId xmlns:a16="http://schemas.microsoft.com/office/drawing/2014/main" id="{5C7FB02E-50F1-45E7-AD8C-7170BF35FD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54580" cy="8396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934</xdr:rowOff>
    </xdr:to>
    <xdr:pic>
      <xdr:nvPicPr>
        <xdr:cNvPr id="2" name="Picture 1">
          <a:extLst>
            <a:ext uri="{FF2B5EF4-FFF2-40B4-BE49-F238E27FC236}">
              <a16:creationId xmlns:a16="http://schemas.microsoft.com/office/drawing/2014/main" id="{682A1C5F-4F28-4BA8-BB5A-29789B75DE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54580" cy="8391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934</xdr:rowOff>
    </xdr:to>
    <xdr:pic>
      <xdr:nvPicPr>
        <xdr:cNvPr id="2" name="Picture 1">
          <a:extLst>
            <a:ext uri="{FF2B5EF4-FFF2-40B4-BE49-F238E27FC236}">
              <a16:creationId xmlns:a16="http://schemas.microsoft.com/office/drawing/2014/main" id="{6792912F-225B-45BF-9897-A54F16F599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54580" cy="8391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3063</xdr:rowOff>
    </xdr:to>
    <xdr:pic>
      <xdr:nvPicPr>
        <xdr:cNvPr id="2" name="Picture 1">
          <a:extLst>
            <a:ext uri="{FF2B5EF4-FFF2-40B4-BE49-F238E27FC236}">
              <a16:creationId xmlns:a16="http://schemas.microsoft.com/office/drawing/2014/main" id="{11BB6B85-58E3-4D5E-B765-8DFEE2407B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305050" cy="841263"/>
    <xdr:pic>
      <xdr:nvPicPr>
        <xdr:cNvPr id="2" name="Picture 1">
          <a:extLst>
            <a:ext uri="{FF2B5EF4-FFF2-40B4-BE49-F238E27FC236}">
              <a16:creationId xmlns:a16="http://schemas.microsoft.com/office/drawing/2014/main" id="{07023660-18B8-4C0B-9277-7A98C4443A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3063</xdr:rowOff>
    </xdr:to>
    <xdr:pic>
      <xdr:nvPicPr>
        <xdr:cNvPr id="2" name="Picture 1">
          <a:extLst>
            <a:ext uri="{FF2B5EF4-FFF2-40B4-BE49-F238E27FC236}">
              <a16:creationId xmlns:a16="http://schemas.microsoft.com/office/drawing/2014/main" id="{442EFB63-CEDC-4A37-91CE-DF2FD35003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3063</xdr:rowOff>
    </xdr:to>
    <xdr:pic>
      <xdr:nvPicPr>
        <xdr:cNvPr id="2" name="Picture 1">
          <a:extLst>
            <a:ext uri="{FF2B5EF4-FFF2-40B4-BE49-F238E27FC236}">
              <a16:creationId xmlns:a16="http://schemas.microsoft.com/office/drawing/2014/main" id="{2CC43318-EAA0-49CA-B49A-BD5A405EBD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3063</xdr:rowOff>
    </xdr:to>
    <xdr:pic>
      <xdr:nvPicPr>
        <xdr:cNvPr id="2" name="Picture 1">
          <a:extLst>
            <a:ext uri="{FF2B5EF4-FFF2-40B4-BE49-F238E27FC236}">
              <a16:creationId xmlns:a16="http://schemas.microsoft.com/office/drawing/2014/main" id="{1D405E41-C66F-4914-80BF-8331BA94AF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457200</xdr:colOff>
      <xdr:row>4</xdr:row>
      <xdr:rowOff>3063</xdr:rowOff>
    </xdr:to>
    <xdr:pic>
      <xdr:nvPicPr>
        <xdr:cNvPr id="2" name="Picture 1">
          <a:extLst>
            <a:ext uri="{FF2B5EF4-FFF2-40B4-BE49-F238E27FC236}">
              <a16:creationId xmlns:a16="http://schemas.microsoft.com/office/drawing/2014/main" id="{29DAB525-86BB-43AB-BEB4-2FD281AEAA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0505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453390</xdr:colOff>
      <xdr:row>4</xdr:row>
      <xdr:rowOff>3063</xdr:rowOff>
    </xdr:to>
    <xdr:pic>
      <xdr:nvPicPr>
        <xdr:cNvPr id="2" name="Picture 1">
          <a:extLst>
            <a:ext uri="{FF2B5EF4-FFF2-40B4-BE49-F238E27FC236}">
              <a16:creationId xmlns:a16="http://schemas.microsoft.com/office/drawing/2014/main" id="{FDFB83C4-BF2B-4E64-8AF8-7A53FFEB26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5077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453390</xdr:colOff>
      <xdr:row>4</xdr:row>
      <xdr:rowOff>3063</xdr:rowOff>
    </xdr:to>
    <xdr:pic>
      <xdr:nvPicPr>
        <xdr:cNvPr id="2" name="Picture 1">
          <a:extLst>
            <a:ext uri="{FF2B5EF4-FFF2-40B4-BE49-F238E27FC236}">
              <a16:creationId xmlns:a16="http://schemas.microsoft.com/office/drawing/2014/main" id="{A211CC12-BE69-42C9-BA33-6999657B61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50770" cy="84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G75NTZKL\2022.01%20%20Funding%20Summary%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1A3YTK3V\2022.10%20%20Funding%20Summar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1A3YTK3V\2022.11%20%20Funding%20Summar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1A3YTK3V\2022.12%20%20Funding%20Summ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G75NTZKL\2022.02%20%20Funding%20Summary%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7QGS6VLY\2022.03%20%20Funding%20Summar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7QGS6VLY\2022.04%20%20Funding%20Summar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7QGS6VLY\2022.05%20%20Funding%20Summar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7QGS6VLY\2022.06%20%20Funding%20Summa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7QGS6VLY\2022.07%20%20Funding%20Summar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D1EA2445\2022.08%20%20Funding%20Summar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6uhym\AppData\Local\Microsoft\Windows\INetCache\Content.Outlook\95WQS0NB\2022.09%20%20Funding%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GL Tie out"/>
      <sheetName val=" Funding Summary"/>
      <sheetName val="Summary"/>
      <sheetName val="CUSIP Details"/>
    </sheetNames>
    <sheetDataSet>
      <sheetData sheetId="0"/>
      <sheetData sheetId="1"/>
      <sheetData sheetId="2"/>
      <sheetData sheetId="3">
        <row r="5">
          <cell r="A5" t="str">
            <v>Enter Accounting Framework:</v>
          </cell>
          <cell r="B5" t="str">
            <v>GAAP Accounting</v>
          </cell>
        </row>
        <row r="7">
          <cell r="A7" t="str">
            <v>Date and Time: 02/02/2022 03:40 PM</v>
          </cell>
        </row>
        <row r="8">
          <cell r="A8" t="str">
            <v>Report Environment: PROD</v>
          </cell>
        </row>
        <row r="9">
          <cell r="A9" t="str">
            <v>Report Description: This report shows Debt redemption value (UPB) activity, walking forward from beginning balance to ending balance. All Debt is represented in USD Equivalent only</v>
          </cell>
        </row>
        <row r="10">
          <cell r="A10" t="str">
            <v>Term Type</v>
          </cell>
          <cell r="B10" t="str">
            <v>Beginning Balance</v>
          </cell>
          <cell r="C10" t="str">
            <v>New Issues (-)</v>
          </cell>
          <cell r="D10" t="str">
            <v>Re-opens (-)</v>
          </cell>
          <cell r="E10" t="str">
            <v>Total Issuances (-)</v>
          </cell>
          <cell r="F10" t="str">
            <v>Repurchases (+)</v>
          </cell>
          <cell r="G10" t="str">
            <v>Calls / Puts (+)</v>
          </cell>
          <cell r="H10" t="str">
            <v>Scheduled Paydown / Maturites (+)</v>
          </cell>
          <cell r="I10" t="str">
            <v>Non-Cash Principal Adjustment</v>
          </cell>
          <cell r="J10" t="str">
            <v>Total Redemptions (+)</v>
          </cell>
          <cell r="K10" t="str">
            <v>FX Translation Gain / (Loss)</v>
          </cell>
          <cell r="L10" t="str">
            <v>Report Calculated Ending Balance</v>
          </cell>
        </row>
        <row r="11">
          <cell r="A11" t="str">
            <v>Total Fed Funds Purchased &amp; Repo</v>
          </cell>
          <cell r="B11">
            <v>0</v>
          </cell>
          <cell r="C11">
            <v>-2047818750</v>
          </cell>
          <cell r="D11">
            <v>0</v>
          </cell>
          <cell r="E11">
            <v>-2047818750</v>
          </cell>
          <cell r="F11">
            <v>0</v>
          </cell>
          <cell r="G11">
            <v>0</v>
          </cell>
          <cell r="H11">
            <v>325812500</v>
          </cell>
          <cell r="I11">
            <v>0</v>
          </cell>
          <cell r="J11">
            <v>325812500</v>
          </cell>
          <cell r="K11">
            <v>0</v>
          </cell>
          <cell r="L11">
            <v>-1722006250</v>
          </cell>
        </row>
        <row r="12">
          <cell r="A12" t="str">
            <v>Non-Fair Value Option</v>
          </cell>
          <cell r="B12">
            <v>0</v>
          </cell>
          <cell r="C12">
            <v>-2047818750</v>
          </cell>
          <cell r="D12">
            <v>0</v>
          </cell>
          <cell r="E12">
            <v>-2047818750</v>
          </cell>
          <cell r="F12">
            <v>0</v>
          </cell>
          <cell r="G12">
            <v>0</v>
          </cell>
          <cell r="H12">
            <v>325812500</v>
          </cell>
          <cell r="I12">
            <v>0</v>
          </cell>
          <cell r="J12">
            <v>325812500</v>
          </cell>
          <cell r="K12">
            <v>0</v>
          </cell>
          <cell r="L12">
            <v>-1722006250</v>
          </cell>
        </row>
        <row r="13">
          <cell r="A13" t="str">
            <v>NA</v>
          </cell>
          <cell r="B13">
            <v>0</v>
          </cell>
          <cell r="C13">
            <v>-2047818750</v>
          </cell>
          <cell r="D13">
            <v>0</v>
          </cell>
          <cell r="E13">
            <v>-2047818750</v>
          </cell>
          <cell r="F13">
            <v>0</v>
          </cell>
          <cell r="G13">
            <v>0</v>
          </cell>
          <cell r="H13">
            <v>325812500</v>
          </cell>
          <cell r="I13">
            <v>0</v>
          </cell>
          <cell r="J13">
            <v>325812500</v>
          </cell>
          <cell r="K13">
            <v>0</v>
          </cell>
          <cell r="L13">
            <v>-1722006250</v>
          </cell>
        </row>
        <row r="14">
          <cell r="A14" t="str">
            <v>NA</v>
          </cell>
          <cell r="B14">
            <v>0</v>
          </cell>
          <cell r="C14">
            <v>-2047818750</v>
          </cell>
          <cell r="D14">
            <v>0</v>
          </cell>
          <cell r="E14">
            <v>-2047818750</v>
          </cell>
          <cell r="F14">
            <v>0</v>
          </cell>
          <cell r="G14">
            <v>0</v>
          </cell>
          <cell r="H14">
            <v>325812500</v>
          </cell>
          <cell r="I14">
            <v>0</v>
          </cell>
          <cell r="J14">
            <v>325812500</v>
          </cell>
          <cell r="K14">
            <v>0</v>
          </cell>
          <cell r="L14">
            <v>-1722006250</v>
          </cell>
        </row>
        <row r="15">
          <cell r="A15" t="str">
            <v>DVP Repo</v>
          </cell>
          <cell r="B15">
            <v>0</v>
          </cell>
          <cell r="C15">
            <v>-2047818750</v>
          </cell>
          <cell r="D15">
            <v>0</v>
          </cell>
          <cell r="E15">
            <v>-2047818750</v>
          </cell>
          <cell r="F15">
            <v>0</v>
          </cell>
          <cell r="G15">
            <v>0</v>
          </cell>
          <cell r="H15">
            <v>325812500</v>
          </cell>
          <cell r="I15">
            <v>0</v>
          </cell>
          <cell r="J15">
            <v>325812500</v>
          </cell>
          <cell r="K15">
            <v>0</v>
          </cell>
          <cell r="L15">
            <v>-1722006250</v>
          </cell>
        </row>
        <row r="16">
          <cell r="A16" t="str">
            <v>DVP Repo</v>
          </cell>
          <cell r="B16">
            <v>0</v>
          </cell>
          <cell r="C16">
            <v>-2047818750</v>
          </cell>
          <cell r="D16">
            <v>0</v>
          </cell>
          <cell r="E16">
            <v>-2047818750</v>
          </cell>
          <cell r="F16">
            <v>0</v>
          </cell>
          <cell r="G16">
            <v>0</v>
          </cell>
          <cell r="H16">
            <v>325812500</v>
          </cell>
          <cell r="I16">
            <v>0</v>
          </cell>
          <cell r="J16">
            <v>325812500</v>
          </cell>
          <cell r="K16">
            <v>0</v>
          </cell>
          <cell r="L16">
            <v>-1722006250</v>
          </cell>
        </row>
        <row r="17">
          <cell r="A17" t="str">
            <v>Total Short Term Funding Term</v>
          </cell>
          <cell r="B17">
            <v>-2795000000</v>
          </cell>
          <cell r="C17">
            <v>-10900000000</v>
          </cell>
          <cell r="D17">
            <v>0</v>
          </cell>
          <cell r="E17">
            <v>-10900000000</v>
          </cell>
          <cell r="F17">
            <v>0</v>
          </cell>
          <cell r="G17">
            <v>0</v>
          </cell>
          <cell r="H17">
            <v>11150000000</v>
          </cell>
          <cell r="I17">
            <v>0</v>
          </cell>
          <cell r="J17">
            <v>11150000000</v>
          </cell>
          <cell r="K17">
            <v>0</v>
          </cell>
          <cell r="L17">
            <v>-2545000000</v>
          </cell>
        </row>
        <row r="18">
          <cell r="A18" t="str">
            <v>Non-Fair Value Option</v>
          </cell>
          <cell r="B18">
            <v>-2795000000</v>
          </cell>
          <cell r="C18">
            <v>-10900000000</v>
          </cell>
          <cell r="D18">
            <v>0</v>
          </cell>
          <cell r="E18">
            <v>-10900000000</v>
          </cell>
          <cell r="F18">
            <v>0</v>
          </cell>
          <cell r="G18">
            <v>0</v>
          </cell>
          <cell r="H18">
            <v>11150000000</v>
          </cell>
          <cell r="I18">
            <v>0</v>
          </cell>
          <cell r="J18">
            <v>11150000000</v>
          </cell>
          <cell r="K18">
            <v>0</v>
          </cell>
          <cell r="L18">
            <v>-2545000000</v>
          </cell>
        </row>
        <row r="19">
          <cell r="A19" t="str">
            <v>NA</v>
          </cell>
          <cell r="B19">
            <v>-2795000000</v>
          </cell>
          <cell r="C19">
            <v>-10900000000</v>
          </cell>
          <cell r="D19">
            <v>0</v>
          </cell>
          <cell r="E19">
            <v>-10900000000</v>
          </cell>
          <cell r="F19">
            <v>0</v>
          </cell>
          <cell r="G19">
            <v>0</v>
          </cell>
          <cell r="H19">
            <v>11150000000</v>
          </cell>
          <cell r="I19">
            <v>0</v>
          </cell>
          <cell r="J19">
            <v>11150000000</v>
          </cell>
          <cell r="K19">
            <v>0</v>
          </cell>
          <cell r="L19">
            <v>-2545000000</v>
          </cell>
        </row>
        <row r="20">
          <cell r="A20" t="str">
            <v>NA</v>
          </cell>
          <cell r="B20">
            <v>-2795000000</v>
          </cell>
          <cell r="C20">
            <v>-10900000000</v>
          </cell>
          <cell r="D20">
            <v>0</v>
          </cell>
          <cell r="E20">
            <v>-10900000000</v>
          </cell>
          <cell r="F20">
            <v>0</v>
          </cell>
          <cell r="G20">
            <v>0</v>
          </cell>
          <cell r="H20">
            <v>11150000000</v>
          </cell>
          <cell r="I20">
            <v>0</v>
          </cell>
          <cell r="J20">
            <v>11150000000</v>
          </cell>
          <cell r="K20">
            <v>0</v>
          </cell>
          <cell r="L20">
            <v>-2545000000</v>
          </cell>
        </row>
        <row r="21">
          <cell r="A21" t="str">
            <v>ST-Debt</v>
          </cell>
          <cell r="B21">
            <v>-2795000000</v>
          </cell>
          <cell r="C21">
            <v>-10900000000</v>
          </cell>
          <cell r="D21">
            <v>0</v>
          </cell>
          <cell r="E21">
            <v>-10900000000</v>
          </cell>
          <cell r="F21">
            <v>0</v>
          </cell>
          <cell r="G21">
            <v>0</v>
          </cell>
          <cell r="H21">
            <v>11150000000</v>
          </cell>
          <cell r="I21">
            <v>0</v>
          </cell>
          <cell r="J21">
            <v>11150000000</v>
          </cell>
          <cell r="K21">
            <v>0</v>
          </cell>
          <cell r="L21">
            <v>-2545000000</v>
          </cell>
        </row>
        <row r="22">
          <cell r="A22" t="str">
            <v>ST-Debt</v>
          </cell>
          <cell r="B22">
            <v>-2795000000</v>
          </cell>
          <cell r="C22">
            <v>-10900000000</v>
          </cell>
          <cell r="D22">
            <v>0</v>
          </cell>
          <cell r="E22">
            <v>-10900000000</v>
          </cell>
          <cell r="F22">
            <v>0</v>
          </cell>
          <cell r="G22">
            <v>0</v>
          </cell>
          <cell r="H22">
            <v>11150000000</v>
          </cell>
          <cell r="I22">
            <v>0</v>
          </cell>
          <cell r="J22">
            <v>11150000000</v>
          </cell>
          <cell r="K22">
            <v>0</v>
          </cell>
          <cell r="L22">
            <v>-2545000000</v>
          </cell>
        </row>
        <row r="23">
          <cell r="A23" t="str">
            <v>Total Long Term Funding Debt</v>
          </cell>
          <cell r="B23">
            <v>-199692134348.82999</v>
          </cell>
          <cell r="C23">
            <v>0</v>
          </cell>
          <cell r="D23">
            <v>0</v>
          </cell>
          <cell r="E23">
            <v>0</v>
          </cell>
          <cell r="F23">
            <v>0</v>
          </cell>
          <cell r="G23">
            <v>0</v>
          </cell>
          <cell r="H23">
            <v>13697878064.459999</v>
          </cell>
          <cell r="I23">
            <v>49250.89</v>
          </cell>
          <cell r="J23">
            <v>13697927315.35</v>
          </cell>
          <cell r="K23">
            <v>2108076.5</v>
          </cell>
          <cell r="L23">
            <v>-185992098956.98001</v>
          </cell>
        </row>
        <row r="24">
          <cell r="A24" t="str">
            <v>Fair Value Option</v>
          </cell>
          <cell r="B24">
            <v>-2217312334.98</v>
          </cell>
          <cell r="C24">
            <v>0</v>
          </cell>
          <cell r="D24">
            <v>0</v>
          </cell>
          <cell r="E24">
            <v>0</v>
          </cell>
          <cell r="F24">
            <v>0</v>
          </cell>
          <cell r="G24">
            <v>0</v>
          </cell>
          <cell r="H24">
            <v>81428573.879999995</v>
          </cell>
          <cell r="I24">
            <v>0</v>
          </cell>
          <cell r="J24">
            <v>81428573.879999995</v>
          </cell>
          <cell r="K24">
            <v>0</v>
          </cell>
          <cell r="L24">
            <v>-2135883761.0999999</v>
          </cell>
        </row>
        <row r="25">
          <cell r="A25" t="str">
            <v>NA</v>
          </cell>
          <cell r="B25">
            <v>-2217312334.98</v>
          </cell>
          <cell r="C25">
            <v>0</v>
          </cell>
          <cell r="D25">
            <v>0</v>
          </cell>
          <cell r="E25">
            <v>0</v>
          </cell>
          <cell r="F25">
            <v>0</v>
          </cell>
          <cell r="G25">
            <v>0</v>
          </cell>
          <cell r="H25">
            <v>81428573.879999995</v>
          </cell>
          <cell r="I25">
            <v>0</v>
          </cell>
          <cell r="J25">
            <v>81428573.879999995</v>
          </cell>
          <cell r="K25">
            <v>0</v>
          </cell>
          <cell r="L25">
            <v>-2135883761.0999999</v>
          </cell>
        </row>
        <row r="26">
          <cell r="A26" t="str">
            <v>NA</v>
          </cell>
          <cell r="B26">
            <v>-2217312334.98</v>
          </cell>
          <cell r="C26">
            <v>0</v>
          </cell>
          <cell r="D26">
            <v>0</v>
          </cell>
          <cell r="E26">
            <v>0</v>
          </cell>
          <cell r="F26">
            <v>0</v>
          </cell>
          <cell r="G26">
            <v>0</v>
          </cell>
          <cell r="H26">
            <v>81428573.879999995</v>
          </cell>
          <cell r="I26">
            <v>0</v>
          </cell>
          <cell r="J26">
            <v>81428573.879999995</v>
          </cell>
          <cell r="K26">
            <v>0</v>
          </cell>
          <cell r="L26">
            <v>-2135883761.0999999</v>
          </cell>
        </row>
        <row r="27">
          <cell r="A27" t="str">
            <v>LT - CAS</v>
          </cell>
          <cell r="B27">
            <v>-1967312334.98</v>
          </cell>
          <cell r="C27">
            <v>0</v>
          </cell>
          <cell r="D27">
            <v>0</v>
          </cell>
          <cell r="E27">
            <v>0</v>
          </cell>
          <cell r="F27">
            <v>0</v>
          </cell>
          <cell r="G27">
            <v>0</v>
          </cell>
          <cell r="H27">
            <v>81428573.879999995</v>
          </cell>
          <cell r="I27">
            <v>0</v>
          </cell>
          <cell r="J27">
            <v>81428573.879999995</v>
          </cell>
          <cell r="K27">
            <v>0</v>
          </cell>
          <cell r="L27">
            <v>-1885883761.0999999</v>
          </cell>
        </row>
        <row r="28">
          <cell r="A28" t="str">
            <v>LT - CAS</v>
          </cell>
          <cell r="B28">
            <v>-1967312334.98</v>
          </cell>
          <cell r="C28">
            <v>0</v>
          </cell>
          <cell r="D28">
            <v>0</v>
          </cell>
          <cell r="E28">
            <v>0</v>
          </cell>
          <cell r="F28">
            <v>0</v>
          </cell>
          <cell r="G28">
            <v>0</v>
          </cell>
          <cell r="H28">
            <v>81428573.879999995</v>
          </cell>
          <cell r="I28">
            <v>0</v>
          </cell>
          <cell r="J28">
            <v>81428573.879999995</v>
          </cell>
          <cell r="K28">
            <v>0</v>
          </cell>
          <cell r="L28">
            <v>-1885883761.0999999</v>
          </cell>
        </row>
        <row r="29">
          <cell r="A29" t="str">
            <v>Non-Callable Floating Rate MTN</v>
          </cell>
          <cell r="B29">
            <v>-250000000</v>
          </cell>
          <cell r="C29">
            <v>0</v>
          </cell>
          <cell r="D29">
            <v>0</v>
          </cell>
          <cell r="E29">
            <v>0</v>
          </cell>
          <cell r="F29">
            <v>0</v>
          </cell>
          <cell r="G29">
            <v>0</v>
          </cell>
          <cell r="H29">
            <v>0</v>
          </cell>
          <cell r="I29">
            <v>0</v>
          </cell>
          <cell r="J29">
            <v>0</v>
          </cell>
          <cell r="K29">
            <v>0</v>
          </cell>
          <cell r="L29">
            <v>-250000000</v>
          </cell>
        </row>
        <row r="30">
          <cell r="A30" t="str">
            <v>Non-Callable Floating Rate MTN</v>
          </cell>
          <cell r="B30">
            <v>-250000000</v>
          </cell>
          <cell r="C30">
            <v>0</v>
          </cell>
          <cell r="D30">
            <v>0</v>
          </cell>
          <cell r="E30">
            <v>0</v>
          </cell>
          <cell r="F30">
            <v>0</v>
          </cell>
          <cell r="G30">
            <v>0</v>
          </cell>
          <cell r="H30">
            <v>0</v>
          </cell>
          <cell r="I30">
            <v>0</v>
          </cell>
          <cell r="J30">
            <v>0</v>
          </cell>
          <cell r="K30">
            <v>0</v>
          </cell>
          <cell r="L30">
            <v>-250000000</v>
          </cell>
        </row>
        <row r="31">
          <cell r="A31" t="str">
            <v>Non-Fair Value Option</v>
          </cell>
          <cell r="B31">
            <v>-197474822013.85001</v>
          </cell>
          <cell r="C31">
            <v>0</v>
          </cell>
          <cell r="D31">
            <v>0</v>
          </cell>
          <cell r="E31">
            <v>0</v>
          </cell>
          <cell r="F31">
            <v>0</v>
          </cell>
          <cell r="G31">
            <v>0</v>
          </cell>
          <cell r="H31">
            <v>13616449490.58</v>
          </cell>
          <cell r="I31">
            <v>49250.89</v>
          </cell>
          <cell r="J31">
            <v>13616498741.469999</v>
          </cell>
          <cell r="K31">
            <v>2108076.5</v>
          </cell>
          <cell r="L31">
            <v>-183856215195.88</v>
          </cell>
        </row>
        <row r="32">
          <cell r="A32" t="str">
            <v>NA</v>
          </cell>
          <cell r="B32">
            <v>-197474822013.85001</v>
          </cell>
          <cell r="C32">
            <v>0</v>
          </cell>
          <cell r="D32">
            <v>0</v>
          </cell>
          <cell r="E32">
            <v>0</v>
          </cell>
          <cell r="F32">
            <v>0</v>
          </cell>
          <cell r="G32">
            <v>0</v>
          </cell>
          <cell r="H32">
            <v>13616449490.58</v>
          </cell>
          <cell r="I32">
            <v>49250.89</v>
          </cell>
          <cell r="J32">
            <v>13616498741.469999</v>
          </cell>
          <cell r="K32">
            <v>2108076.5</v>
          </cell>
          <cell r="L32">
            <v>-183856215195.88</v>
          </cell>
        </row>
        <row r="33">
          <cell r="A33" t="str">
            <v>NA</v>
          </cell>
          <cell r="B33">
            <v>-197474822013.85001</v>
          </cell>
          <cell r="C33">
            <v>0</v>
          </cell>
          <cell r="D33">
            <v>0</v>
          </cell>
          <cell r="E33">
            <v>0</v>
          </cell>
          <cell r="F33">
            <v>0</v>
          </cell>
          <cell r="G33">
            <v>0</v>
          </cell>
          <cell r="H33">
            <v>13616449490.58</v>
          </cell>
          <cell r="I33">
            <v>49250.89</v>
          </cell>
          <cell r="J33">
            <v>13616498741.469999</v>
          </cell>
          <cell r="K33">
            <v>2108076.5</v>
          </cell>
          <cell r="L33">
            <v>-183856215195.88</v>
          </cell>
        </row>
        <row r="34">
          <cell r="A34" t="str">
            <v>Benchmark Notes &amp; Bonds</v>
          </cell>
          <cell r="B34">
            <v>-90969988000</v>
          </cell>
          <cell r="C34">
            <v>0</v>
          </cell>
          <cell r="D34">
            <v>0</v>
          </cell>
          <cell r="E34">
            <v>0</v>
          </cell>
          <cell r="F34">
            <v>0</v>
          </cell>
          <cell r="G34">
            <v>0</v>
          </cell>
          <cell r="H34">
            <v>5230322000</v>
          </cell>
          <cell r="I34">
            <v>0</v>
          </cell>
          <cell r="J34">
            <v>5230322000</v>
          </cell>
          <cell r="K34">
            <v>0</v>
          </cell>
          <cell r="L34">
            <v>-85739666000</v>
          </cell>
        </row>
        <row r="35">
          <cell r="A35" t="str">
            <v>Benchmark Notes &amp; Bonds</v>
          </cell>
          <cell r="B35">
            <v>-90969988000</v>
          </cell>
          <cell r="C35">
            <v>0</v>
          </cell>
          <cell r="D35">
            <v>0</v>
          </cell>
          <cell r="E35">
            <v>0</v>
          </cell>
          <cell r="F35">
            <v>0</v>
          </cell>
          <cell r="G35">
            <v>0</v>
          </cell>
          <cell r="H35">
            <v>5230322000</v>
          </cell>
          <cell r="I35">
            <v>0</v>
          </cell>
          <cell r="J35">
            <v>5230322000</v>
          </cell>
          <cell r="K35">
            <v>0</v>
          </cell>
          <cell r="L35">
            <v>-85739666000</v>
          </cell>
        </row>
        <row r="36">
          <cell r="A36" t="str">
            <v>Callable Fixed Rate MTN</v>
          </cell>
          <cell r="B36">
            <v>-37393790000</v>
          </cell>
          <cell r="C36">
            <v>0</v>
          </cell>
          <cell r="D36">
            <v>0</v>
          </cell>
          <cell r="E36">
            <v>0</v>
          </cell>
          <cell r="F36">
            <v>0</v>
          </cell>
          <cell r="G36">
            <v>0</v>
          </cell>
          <cell r="H36">
            <v>0</v>
          </cell>
          <cell r="I36">
            <v>0</v>
          </cell>
          <cell r="J36">
            <v>0</v>
          </cell>
          <cell r="K36">
            <v>0</v>
          </cell>
          <cell r="L36">
            <v>-37393790000</v>
          </cell>
        </row>
        <row r="37">
          <cell r="A37" t="str">
            <v>Callable Fixed Rate MTN</v>
          </cell>
          <cell r="B37">
            <v>-37393790000</v>
          </cell>
          <cell r="C37">
            <v>0</v>
          </cell>
          <cell r="D37">
            <v>0</v>
          </cell>
          <cell r="E37">
            <v>0</v>
          </cell>
          <cell r="F37">
            <v>0</v>
          </cell>
          <cell r="G37">
            <v>0</v>
          </cell>
          <cell r="H37">
            <v>0</v>
          </cell>
          <cell r="I37">
            <v>0</v>
          </cell>
          <cell r="J37">
            <v>0</v>
          </cell>
          <cell r="K37">
            <v>0</v>
          </cell>
          <cell r="L37">
            <v>-37393790000</v>
          </cell>
        </row>
        <row r="38">
          <cell r="A38" t="str">
            <v>LT - CAS</v>
          </cell>
          <cell r="B38">
            <v>-9199260991.0499992</v>
          </cell>
          <cell r="C38">
            <v>0</v>
          </cell>
          <cell r="D38">
            <v>0</v>
          </cell>
          <cell r="E38">
            <v>0</v>
          </cell>
          <cell r="F38">
            <v>0</v>
          </cell>
          <cell r="G38">
            <v>0</v>
          </cell>
          <cell r="H38">
            <v>136127490.58000001</v>
          </cell>
          <cell r="I38">
            <v>49250.89</v>
          </cell>
          <cell r="J38">
            <v>136176741.47</v>
          </cell>
          <cell r="K38">
            <v>0</v>
          </cell>
          <cell r="L38">
            <v>-9063084249.5799999</v>
          </cell>
        </row>
        <row r="39">
          <cell r="A39" t="str">
            <v>LT - CAS</v>
          </cell>
          <cell r="B39">
            <v>-9199260991.0499992</v>
          </cell>
          <cell r="C39">
            <v>0</v>
          </cell>
          <cell r="D39">
            <v>0</v>
          </cell>
          <cell r="E39">
            <v>0</v>
          </cell>
          <cell r="F39">
            <v>0</v>
          </cell>
          <cell r="G39">
            <v>0</v>
          </cell>
          <cell r="H39">
            <v>136127490.58000001</v>
          </cell>
          <cell r="I39">
            <v>49250.89</v>
          </cell>
          <cell r="J39">
            <v>136176741.47</v>
          </cell>
          <cell r="K39">
            <v>0</v>
          </cell>
          <cell r="L39">
            <v>-9063084249.5799999</v>
          </cell>
        </row>
        <row r="40">
          <cell r="A40" t="str">
            <v>LT - FX Debt</v>
          </cell>
          <cell r="B40">
            <v>-335605778.80000001</v>
          </cell>
          <cell r="C40">
            <v>0</v>
          </cell>
          <cell r="D40">
            <v>0</v>
          </cell>
          <cell r="E40">
            <v>0</v>
          </cell>
          <cell r="F40">
            <v>0</v>
          </cell>
          <cell r="G40">
            <v>0</v>
          </cell>
          <cell r="H40">
            <v>0</v>
          </cell>
          <cell r="I40">
            <v>0</v>
          </cell>
          <cell r="J40">
            <v>0</v>
          </cell>
          <cell r="K40">
            <v>2108076.5</v>
          </cell>
          <cell r="L40">
            <v>-333497702.30000001</v>
          </cell>
        </row>
        <row r="41">
          <cell r="A41" t="str">
            <v>LT - FX Debt</v>
          </cell>
          <cell r="B41">
            <v>-335605778.80000001</v>
          </cell>
          <cell r="C41">
            <v>0</v>
          </cell>
          <cell r="D41">
            <v>0</v>
          </cell>
          <cell r="E41">
            <v>0</v>
          </cell>
          <cell r="F41">
            <v>0</v>
          </cell>
          <cell r="G41">
            <v>0</v>
          </cell>
          <cell r="H41">
            <v>0</v>
          </cell>
          <cell r="I41">
            <v>0</v>
          </cell>
          <cell r="J41">
            <v>0</v>
          </cell>
          <cell r="K41">
            <v>2108076.5</v>
          </cell>
          <cell r="L41">
            <v>-333497702.30000001</v>
          </cell>
        </row>
        <row r="42">
          <cell r="A42" t="str">
            <v>Non-Callable Fixed Rate MTN</v>
          </cell>
          <cell r="B42">
            <v>-7990177244</v>
          </cell>
          <cell r="C42">
            <v>0</v>
          </cell>
          <cell r="D42">
            <v>0</v>
          </cell>
          <cell r="E42">
            <v>0</v>
          </cell>
          <cell r="F42">
            <v>0</v>
          </cell>
          <cell r="G42">
            <v>0</v>
          </cell>
          <cell r="H42">
            <v>15000000</v>
          </cell>
          <cell r="I42">
            <v>0</v>
          </cell>
          <cell r="J42">
            <v>15000000</v>
          </cell>
          <cell r="K42">
            <v>0</v>
          </cell>
          <cell r="L42">
            <v>-7975177244</v>
          </cell>
        </row>
        <row r="43">
          <cell r="A43" t="str">
            <v>Non-Callable Fixed Rate MTN</v>
          </cell>
          <cell r="B43">
            <v>-7990177244</v>
          </cell>
          <cell r="C43">
            <v>0</v>
          </cell>
          <cell r="D43">
            <v>0</v>
          </cell>
          <cell r="E43">
            <v>0</v>
          </cell>
          <cell r="F43">
            <v>0</v>
          </cell>
          <cell r="G43">
            <v>0</v>
          </cell>
          <cell r="H43">
            <v>15000000</v>
          </cell>
          <cell r="I43">
            <v>0</v>
          </cell>
          <cell r="J43">
            <v>15000000</v>
          </cell>
          <cell r="K43">
            <v>0</v>
          </cell>
          <cell r="L43">
            <v>-7975177244</v>
          </cell>
        </row>
        <row r="44">
          <cell r="A44" t="str">
            <v>Non-Callable Floating Rate MTN</v>
          </cell>
          <cell r="B44">
            <v>-51586000000</v>
          </cell>
          <cell r="C44">
            <v>0</v>
          </cell>
          <cell r="D44">
            <v>0</v>
          </cell>
          <cell r="E44">
            <v>0</v>
          </cell>
          <cell r="F44">
            <v>0</v>
          </cell>
          <cell r="G44">
            <v>0</v>
          </cell>
          <cell r="H44">
            <v>8235000000</v>
          </cell>
          <cell r="I44">
            <v>0</v>
          </cell>
          <cell r="J44">
            <v>8235000000</v>
          </cell>
          <cell r="K44">
            <v>0</v>
          </cell>
          <cell r="L44">
            <v>-43351000000</v>
          </cell>
        </row>
        <row r="45">
          <cell r="A45" t="str">
            <v>Non-Callable Floating Rate MTN</v>
          </cell>
          <cell r="B45">
            <v>-51586000000</v>
          </cell>
          <cell r="C45">
            <v>0</v>
          </cell>
          <cell r="D45">
            <v>0</v>
          </cell>
          <cell r="E45">
            <v>0</v>
          </cell>
          <cell r="F45">
            <v>0</v>
          </cell>
          <cell r="G45">
            <v>0</v>
          </cell>
          <cell r="H45">
            <v>8235000000</v>
          </cell>
          <cell r="I45">
            <v>0</v>
          </cell>
          <cell r="J45">
            <v>8235000000</v>
          </cell>
          <cell r="K45">
            <v>0</v>
          </cell>
          <cell r="L45">
            <v>-43351000000</v>
          </cell>
        </row>
      </sheetData>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unding Summary"/>
      <sheetName val="Debt GL Balances"/>
      <sheetName val="GL Tie out"/>
      <sheetName val="Summary"/>
      <sheetName val="CUSIP Details"/>
    </sheetNames>
    <sheetDataSet>
      <sheetData sheetId="0"/>
      <sheetData sheetId="1" refreshError="1"/>
      <sheetData sheetId="2" refreshError="1"/>
      <sheetData sheetId="3">
        <row r="5">
          <cell r="A5" t="str">
            <v>Enter Accounting Framework:</v>
          </cell>
          <cell r="B5" t="str">
            <v>GAAP Accounting
Securities Netting</v>
          </cell>
        </row>
        <row r="7">
          <cell r="A7" t="str">
            <v>Date and Time: 11/08/2022 05:39 PM</v>
          </cell>
        </row>
        <row r="8">
          <cell r="A8" t="str">
            <v>Report Environment: PROD</v>
          </cell>
        </row>
        <row r="9">
          <cell r="A9" t="str">
            <v>Report Description: This report shows Debt redemption value (UPB) activity, walking forward from beginning balance to ending balance. All Debt is represented in USD Equivalent only</v>
          </cell>
        </row>
        <row r="10">
          <cell r="A10" t="str">
            <v>Term Type</v>
          </cell>
          <cell r="B10" t="str">
            <v>Beginning Balance</v>
          </cell>
          <cell r="C10" t="str">
            <v>New Issues (-)</v>
          </cell>
          <cell r="D10" t="str">
            <v>Re-opens (-)</v>
          </cell>
          <cell r="E10" t="str">
            <v>Total Issuances (-)</v>
          </cell>
          <cell r="F10" t="str">
            <v>Repurchases (+)</v>
          </cell>
          <cell r="G10" t="str">
            <v>Calls / Puts (+)</v>
          </cell>
          <cell r="H10" t="str">
            <v>Scheduled Paydown / Maturites (+)</v>
          </cell>
          <cell r="I10" t="str">
            <v>Non-Cash Principal Adjustment</v>
          </cell>
          <cell r="J10" t="str">
            <v>Total Redemptions (+)</v>
          </cell>
          <cell r="K10" t="str">
            <v>FX Translation Gain / (Loss)</v>
          </cell>
          <cell r="L10" t="str">
            <v>Report Calculated Ending Balance</v>
          </cell>
        </row>
        <row r="11">
          <cell r="A11" t="str">
            <v>Total Fed Funds Purchased &amp; Repo</v>
          </cell>
          <cell r="B11">
            <v>0</v>
          </cell>
          <cell r="C11">
            <v>-379500000</v>
          </cell>
          <cell r="D11">
            <v>0</v>
          </cell>
          <cell r="E11">
            <v>-379500000</v>
          </cell>
          <cell r="F11">
            <v>0</v>
          </cell>
          <cell r="G11">
            <v>0</v>
          </cell>
          <cell r="H11">
            <v>379500000</v>
          </cell>
          <cell r="I11">
            <v>0</v>
          </cell>
          <cell r="J11">
            <v>379500000</v>
          </cell>
          <cell r="K11">
            <v>0</v>
          </cell>
          <cell r="L11">
            <v>0</v>
          </cell>
        </row>
        <row r="12">
          <cell r="A12" t="str">
            <v>Non-Fair Value Option</v>
          </cell>
          <cell r="B12">
            <v>0</v>
          </cell>
          <cell r="C12">
            <v>-379500000</v>
          </cell>
          <cell r="D12">
            <v>0</v>
          </cell>
          <cell r="E12">
            <v>-379500000</v>
          </cell>
          <cell r="F12">
            <v>0</v>
          </cell>
          <cell r="G12">
            <v>0</v>
          </cell>
          <cell r="H12">
            <v>379500000</v>
          </cell>
          <cell r="I12">
            <v>0</v>
          </cell>
          <cell r="J12">
            <v>379500000</v>
          </cell>
          <cell r="K12">
            <v>0</v>
          </cell>
          <cell r="L12">
            <v>0</v>
          </cell>
        </row>
        <row r="13">
          <cell r="A13" t="str">
            <v>NA</v>
          </cell>
          <cell r="B13">
            <v>0</v>
          </cell>
          <cell r="C13">
            <v>-379500000</v>
          </cell>
          <cell r="D13">
            <v>0</v>
          </cell>
          <cell r="E13">
            <v>-379500000</v>
          </cell>
          <cell r="F13">
            <v>0</v>
          </cell>
          <cell r="G13">
            <v>0</v>
          </cell>
          <cell r="H13">
            <v>379500000</v>
          </cell>
          <cell r="I13">
            <v>0</v>
          </cell>
          <cell r="J13">
            <v>379500000</v>
          </cell>
          <cell r="K13">
            <v>0</v>
          </cell>
          <cell r="L13">
            <v>0</v>
          </cell>
        </row>
        <row r="14">
          <cell r="A14" t="str">
            <v>NA</v>
          </cell>
          <cell r="B14">
            <v>0</v>
          </cell>
          <cell r="C14">
            <v>-379500000</v>
          </cell>
          <cell r="D14">
            <v>0</v>
          </cell>
          <cell r="E14">
            <v>-379500000</v>
          </cell>
          <cell r="F14">
            <v>0</v>
          </cell>
          <cell r="G14">
            <v>0</v>
          </cell>
          <cell r="H14">
            <v>379500000</v>
          </cell>
          <cell r="I14">
            <v>0</v>
          </cell>
          <cell r="J14">
            <v>379500000</v>
          </cell>
          <cell r="K14">
            <v>0</v>
          </cell>
          <cell r="L14">
            <v>0</v>
          </cell>
        </row>
        <row r="15">
          <cell r="A15" t="str">
            <v>DVP Repo</v>
          </cell>
          <cell r="B15">
            <v>0</v>
          </cell>
          <cell r="C15">
            <v>-379500000</v>
          </cell>
          <cell r="D15">
            <v>0</v>
          </cell>
          <cell r="E15">
            <v>-379500000</v>
          </cell>
          <cell r="F15">
            <v>0</v>
          </cell>
          <cell r="G15">
            <v>0</v>
          </cell>
          <cell r="H15">
            <v>379500000</v>
          </cell>
          <cell r="I15">
            <v>0</v>
          </cell>
          <cell r="J15">
            <v>379500000</v>
          </cell>
          <cell r="K15">
            <v>0</v>
          </cell>
          <cell r="L15">
            <v>0</v>
          </cell>
        </row>
        <row r="16">
          <cell r="A16" t="str">
            <v>DVP Repo</v>
          </cell>
          <cell r="B16">
            <v>0</v>
          </cell>
          <cell r="C16">
            <v>-379500000</v>
          </cell>
          <cell r="D16">
            <v>0</v>
          </cell>
          <cell r="E16">
            <v>-379500000</v>
          </cell>
          <cell r="F16">
            <v>0</v>
          </cell>
          <cell r="G16">
            <v>0</v>
          </cell>
          <cell r="H16">
            <v>379500000</v>
          </cell>
          <cell r="I16">
            <v>0</v>
          </cell>
          <cell r="J16">
            <v>379500000</v>
          </cell>
          <cell r="K16">
            <v>0</v>
          </cell>
          <cell r="L16">
            <v>0</v>
          </cell>
        </row>
        <row r="17">
          <cell r="A17" t="str">
            <v>Total Short Term Funding Term</v>
          </cell>
          <cell r="B17">
            <v>-2995000000</v>
          </cell>
          <cell r="C17">
            <v>-6520000000</v>
          </cell>
          <cell r="D17">
            <v>0</v>
          </cell>
          <cell r="E17">
            <v>-6520000000</v>
          </cell>
          <cell r="F17">
            <v>0</v>
          </cell>
          <cell r="G17">
            <v>0</v>
          </cell>
          <cell r="H17">
            <v>6720000000</v>
          </cell>
          <cell r="I17">
            <v>0</v>
          </cell>
          <cell r="J17">
            <v>6720000000</v>
          </cell>
          <cell r="K17">
            <v>0</v>
          </cell>
          <cell r="L17">
            <v>-2795000000</v>
          </cell>
        </row>
        <row r="18">
          <cell r="A18" t="str">
            <v>Non-Fair Value Option</v>
          </cell>
          <cell r="B18">
            <v>-2995000000</v>
          </cell>
          <cell r="C18">
            <v>-6520000000</v>
          </cell>
          <cell r="D18">
            <v>0</v>
          </cell>
          <cell r="E18">
            <v>-6520000000</v>
          </cell>
          <cell r="F18">
            <v>0</v>
          </cell>
          <cell r="G18">
            <v>0</v>
          </cell>
          <cell r="H18">
            <v>6720000000</v>
          </cell>
          <cell r="I18">
            <v>0</v>
          </cell>
          <cell r="J18">
            <v>6720000000</v>
          </cell>
          <cell r="K18">
            <v>0</v>
          </cell>
          <cell r="L18">
            <v>-2795000000</v>
          </cell>
        </row>
        <row r="19">
          <cell r="A19" t="str">
            <v>NA</v>
          </cell>
          <cell r="B19">
            <v>-2995000000</v>
          </cell>
          <cell r="C19">
            <v>-6520000000</v>
          </cell>
          <cell r="D19">
            <v>0</v>
          </cell>
          <cell r="E19">
            <v>-6520000000</v>
          </cell>
          <cell r="F19">
            <v>0</v>
          </cell>
          <cell r="G19">
            <v>0</v>
          </cell>
          <cell r="H19">
            <v>6720000000</v>
          </cell>
          <cell r="I19">
            <v>0</v>
          </cell>
          <cell r="J19">
            <v>6720000000</v>
          </cell>
          <cell r="K19">
            <v>0</v>
          </cell>
          <cell r="L19">
            <v>-2795000000</v>
          </cell>
        </row>
        <row r="20">
          <cell r="A20" t="str">
            <v>NA</v>
          </cell>
          <cell r="B20">
            <v>-2995000000</v>
          </cell>
          <cell r="C20">
            <v>-6520000000</v>
          </cell>
          <cell r="D20">
            <v>0</v>
          </cell>
          <cell r="E20">
            <v>-6520000000</v>
          </cell>
          <cell r="F20">
            <v>0</v>
          </cell>
          <cell r="G20">
            <v>0</v>
          </cell>
          <cell r="H20">
            <v>6720000000</v>
          </cell>
          <cell r="I20">
            <v>0</v>
          </cell>
          <cell r="J20">
            <v>6720000000</v>
          </cell>
          <cell r="K20">
            <v>0</v>
          </cell>
          <cell r="L20">
            <v>-2795000000</v>
          </cell>
        </row>
        <row r="21">
          <cell r="A21" t="str">
            <v>ST-Debt</v>
          </cell>
          <cell r="B21">
            <v>-2995000000</v>
          </cell>
          <cell r="C21">
            <v>-6520000000</v>
          </cell>
          <cell r="D21">
            <v>0</v>
          </cell>
          <cell r="E21">
            <v>-6520000000</v>
          </cell>
          <cell r="F21">
            <v>0</v>
          </cell>
          <cell r="G21">
            <v>0</v>
          </cell>
          <cell r="H21">
            <v>6720000000</v>
          </cell>
          <cell r="I21">
            <v>0</v>
          </cell>
          <cell r="J21">
            <v>6720000000</v>
          </cell>
          <cell r="K21">
            <v>0</v>
          </cell>
          <cell r="L21">
            <v>-2795000000</v>
          </cell>
        </row>
        <row r="22">
          <cell r="A22" t="str">
            <v>ST-Debt</v>
          </cell>
          <cell r="B22">
            <v>-2995000000</v>
          </cell>
          <cell r="C22">
            <v>-6520000000</v>
          </cell>
          <cell r="D22">
            <v>0</v>
          </cell>
          <cell r="E22">
            <v>-6520000000</v>
          </cell>
          <cell r="F22">
            <v>0</v>
          </cell>
          <cell r="G22">
            <v>0</v>
          </cell>
          <cell r="H22">
            <v>6720000000</v>
          </cell>
          <cell r="I22">
            <v>0</v>
          </cell>
          <cell r="J22">
            <v>6720000000</v>
          </cell>
          <cell r="K22">
            <v>0</v>
          </cell>
          <cell r="L22">
            <v>-2795000000</v>
          </cell>
        </row>
        <row r="23">
          <cell r="A23" t="str">
            <v>Total Long Term Funding Debt</v>
          </cell>
          <cell r="B23">
            <v>-131919127139.74001</v>
          </cell>
          <cell r="C23">
            <v>0</v>
          </cell>
          <cell r="D23">
            <v>0</v>
          </cell>
          <cell r="E23">
            <v>0</v>
          </cell>
          <cell r="F23">
            <v>0</v>
          </cell>
          <cell r="G23">
            <v>0</v>
          </cell>
          <cell r="H23">
            <v>2176498650.0799999</v>
          </cell>
          <cell r="I23">
            <v>181173.7</v>
          </cell>
          <cell r="J23">
            <v>2176679823.7800002</v>
          </cell>
          <cell r="K23">
            <v>-7415468.8600000003</v>
          </cell>
          <cell r="L23">
            <v>-129749862784.82001</v>
          </cell>
        </row>
        <row r="24">
          <cell r="A24" t="str">
            <v>Fair Value Option</v>
          </cell>
          <cell r="B24">
            <v>-1732024123.7</v>
          </cell>
          <cell r="C24">
            <v>0</v>
          </cell>
          <cell r="D24">
            <v>0</v>
          </cell>
          <cell r="E24">
            <v>0</v>
          </cell>
          <cell r="F24">
            <v>0</v>
          </cell>
          <cell r="G24">
            <v>0</v>
          </cell>
          <cell r="H24">
            <v>30028211.190000001</v>
          </cell>
          <cell r="I24">
            <v>0</v>
          </cell>
          <cell r="J24">
            <v>30028211.190000001</v>
          </cell>
          <cell r="K24">
            <v>0</v>
          </cell>
          <cell r="L24">
            <v>-1701995912.51</v>
          </cell>
        </row>
        <row r="25">
          <cell r="A25" t="str">
            <v>NA</v>
          </cell>
          <cell r="B25">
            <v>-1732024123.7</v>
          </cell>
          <cell r="C25">
            <v>0</v>
          </cell>
          <cell r="D25">
            <v>0</v>
          </cell>
          <cell r="E25">
            <v>0</v>
          </cell>
          <cell r="F25">
            <v>0</v>
          </cell>
          <cell r="G25">
            <v>0</v>
          </cell>
          <cell r="H25">
            <v>30028211.190000001</v>
          </cell>
          <cell r="I25">
            <v>0</v>
          </cell>
          <cell r="J25">
            <v>30028211.190000001</v>
          </cell>
          <cell r="K25">
            <v>0</v>
          </cell>
          <cell r="L25">
            <v>-1701995912.51</v>
          </cell>
        </row>
        <row r="26">
          <cell r="A26" t="str">
            <v>NA</v>
          </cell>
          <cell r="B26">
            <v>-1732024123.7</v>
          </cell>
          <cell r="C26">
            <v>0</v>
          </cell>
          <cell r="D26">
            <v>0</v>
          </cell>
          <cell r="E26">
            <v>0</v>
          </cell>
          <cell r="F26">
            <v>0</v>
          </cell>
          <cell r="G26">
            <v>0</v>
          </cell>
          <cell r="H26">
            <v>30028211.190000001</v>
          </cell>
          <cell r="I26">
            <v>0</v>
          </cell>
          <cell r="J26">
            <v>30028211.190000001</v>
          </cell>
          <cell r="K26">
            <v>0</v>
          </cell>
          <cell r="L26">
            <v>-1701995912.51</v>
          </cell>
        </row>
        <row r="27">
          <cell r="A27" t="str">
            <v>LT - CAS</v>
          </cell>
          <cell r="B27">
            <v>-1482024123.7</v>
          </cell>
          <cell r="C27">
            <v>0</v>
          </cell>
          <cell r="D27">
            <v>0</v>
          </cell>
          <cell r="E27">
            <v>0</v>
          </cell>
          <cell r="F27">
            <v>0</v>
          </cell>
          <cell r="G27">
            <v>0</v>
          </cell>
          <cell r="H27">
            <v>30028211.190000001</v>
          </cell>
          <cell r="I27">
            <v>0</v>
          </cell>
          <cell r="J27">
            <v>30028211.190000001</v>
          </cell>
          <cell r="K27">
            <v>0</v>
          </cell>
          <cell r="L27">
            <v>-1451995912.51</v>
          </cell>
        </row>
        <row r="28">
          <cell r="A28" t="str">
            <v>LT - CAS</v>
          </cell>
          <cell r="B28">
            <v>-1482024123.7</v>
          </cell>
          <cell r="C28">
            <v>0</v>
          </cell>
          <cell r="D28">
            <v>0</v>
          </cell>
          <cell r="E28">
            <v>0</v>
          </cell>
          <cell r="F28">
            <v>0</v>
          </cell>
          <cell r="G28">
            <v>0</v>
          </cell>
          <cell r="H28">
            <v>30028211.190000001</v>
          </cell>
          <cell r="I28">
            <v>0</v>
          </cell>
          <cell r="J28">
            <v>30028211.190000001</v>
          </cell>
          <cell r="K28">
            <v>0</v>
          </cell>
          <cell r="L28">
            <v>-1451995912.51</v>
          </cell>
        </row>
        <row r="29">
          <cell r="A29" t="str">
            <v>Non-Callable Floating Rate MTN</v>
          </cell>
          <cell r="B29">
            <v>-250000000</v>
          </cell>
          <cell r="C29">
            <v>0</v>
          </cell>
          <cell r="D29">
            <v>0</v>
          </cell>
          <cell r="E29">
            <v>0</v>
          </cell>
          <cell r="F29">
            <v>0</v>
          </cell>
          <cell r="G29">
            <v>0</v>
          </cell>
          <cell r="H29">
            <v>0</v>
          </cell>
          <cell r="I29">
            <v>0</v>
          </cell>
          <cell r="J29">
            <v>0</v>
          </cell>
          <cell r="K29">
            <v>0</v>
          </cell>
          <cell r="L29">
            <v>-250000000</v>
          </cell>
        </row>
        <row r="30">
          <cell r="A30" t="str">
            <v>Non-Callable Floating Rate MTN</v>
          </cell>
          <cell r="B30">
            <v>-250000000</v>
          </cell>
          <cell r="C30">
            <v>0</v>
          </cell>
          <cell r="D30">
            <v>0</v>
          </cell>
          <cell r="E30">
            <v>0</v>
          </cell>
          <cell r="F30">
            <v>0</v>
          </cell>
          <cell r="G30">
            <v>0</v>
          </cell>
          <cell r="H30">
            <v>0</v>
          </cell>
          <cell r="I30">
            <v>0</v>
          </cell>
          <cell r="J30">
            <v>0</v>
          </cell>
          <cell r="K30">
            <v>0</v>
          </cell>
          <cell r="L30">
            <v>-250000000</v>
          </cell>
        </row>
        <row r="31">
          <cell r="A31" t="str">
            <v>Non-Fair Value Option</v>
          </cell>
          <cell r="B31">
            <v>-130187103016.03999</v>
          </cell>
          <cell r="C31">
            <v>0</v>
          </cell>
          <cell r="D31">
            <v>0</v>
          </cell>
          <cell r="E31">
            <v>0</v>
          </cell>
          <cell r="F31">
            <v>0</v>
          </cell>
          <cell r="G31">
            <v>0</v>
          </cell>
          <cell r="H31">
            <v>2146470438.8900001</v>
          </cell>
          <cell r="I31">
            <v>181173.7</v>
          </cell>
          <cell r="J31">
            <v>2146651612.5899999</v>
          </cell>
          <cell r="K31">
            <v>-7415468.8600000003</v>
          </cell>
          <cell r="L31">
            <v>-128047866872.31</v>
          </cell>
        </row>
        <row r="32">
          <cell r="A32" t="str">
            <v>NA</v>
          </cell>
          <cell r="B32">
            <v>-130187103016.03999</v>
          </cell>
          <cell r="C32">
            <v>0</v>
          </cell>
          <cell r="D32">
            <v>0</v>
          </cell>
          <cell r="E32">
            <v>0</v>
          </cell>
          <cell r="F32">
            <v>0</v>
          </cell>
          <cell r="G32">
            <v>0</v>
          </cell>
          <cell r="H32">
            <v>2146470438.8900001</v>
          </cell>
          <cell r="I32">
            <v>181173.7</v>
          </cell>
          <cell r="J32">
            <v>2146651612.5899999</v>
          </cell>
          <cell r="K32">
            <v>-7415468.8600000003</v>
          </cell>
          <cell r="L32">
            <v>-128047866872.31</v>
          </cell>
        </row>
        <row r="33">
          <cell r="A33" t="str">
            <v>NA</v>
          </cell>
          <cell r="B33">
            <v>-130187103016.03999</v>
          </cell>
          <cell r="C33">
            <v>0</v>
          </cell>
          <cell r="D33">
            <v>0</v>
          </cell>
          <cell r="E33">
            <v>0</v>
          </cell>
          <cell r="F33">
            <v>0</v>
          </cell>
          <cell r="G33">
            <v>0</v>
          </cell>
          <cell r="H33">
            <v>2146470438.8900001</v>
          </cell>
          <cell r="I33">
            <v>181173.7</v>
          </cell>
          <cell r="J33">
            <v>2146651612.5899999</v>
          </cell>
          <cell r="K33">
            <v>-7415468.8600000003</v>
          </cell>
          <cell r="L33">
            <v>-128047866872.31</v>
          </cell>
        </row>
        <row r="34">
          <cell r="A34" t="str">
            <v>Benchmark Notes &amp; Bonds</v>
          </cell>
          <cell r="B34">
            <v>-78739666000</v>
          </cell>
          <cell r="C34">
            <v>0</v>
          </cell>
          <cell r="D34">
            <v>0</v>
          </cell>
          <cell r="E34">
            <v>0</v>
          </cell>
          <cell r="F34">
            <v>0</v>
          </cell>
          <cell r="G34">
            <v>0</v>
          </cell>
          <cell r="H34">
            <v>2000000000</v>
          </cell>
          <cell r="I34">
            <v>0</v>
          </cell>
          <cell r="J34">
            <v>2000000000</v>
          </cell>
          <cell r="K34">
            <v>0</v>
          </cell>
          <cell r="L34">
            <v>-76739666000</v>
          </cell>
        </row>
        <row r="35">
          <cell r="A35" t="str">
            <v>Benchmark Notes &amp; Bonds</v>
          </cell>
          <cell r="B35">
            <v>-78739666000</v>
          </cell>
          <cell r="C35">
            <v>0</v>
          </cell>
          <cell r="D35">
            <v>0</v>
          </cell>
          <cell r="E35">
            <v>0</v>
          </cell>
          <cell r="F35">
            <v>0</v>
          </cell>
          <cell r="G35">
            <v>0</v>
          </cell>
          <cell r="H35">
            <v>2000000000</v>
          </cell>
          <cell r="I35">
            <v>0</v>
          </cell>
          <cell r="J35">
            <v>2000000000</v>
          </cell>
          <cell r="K35">
            <v>0</v>
          </cell>
          <cell r="L35">
            <v>-76739666000</v>
          </cell>
        </row>
        <row r="36">
          <cell r="A36" t="str">
            <v>Callable Fixed Rate MTN</v>
          </cell>
          <cell r="B36">
            <v>-37446290000</v>
          </cell>
          <cell r="C36">
            <v>0</v>
          </cell>
          <cell r="D36">
            <v>0</v>
          </cell>
          <cell r="E36">
            <v>0</v>
          </cell>
          <cell r="F36">
            <v>0</v>
          </cell>
          <cell r="G36">
            <v>0</v>
          </cell>
          <cell r="H36">
            <v>0</v>
          </cell>
          <cell r="I36">
            <v>0</v>
          </cell>
          <cell r="J36">
            <v>0</v>
          </cell>
          <cell r="K36">
            <v>0</v>
          </cell>
          <cell r="L36">
            <v>-37446290000</v>
          </cell>
        </row>
        <row r="37">
          <cell r="A37" t="str">
            <v>Callable Fixed Rate MTN</v>
          </cell>
          <cell r="B37">
            <v>-37446290000</v>
          </cell>
          <cell r="C37">
            <v>0</v>
          </cell>
          <cell r="D37">
            <v>0</v>
          </cell>
          <cell r="E37">
            <v>0</v>
          </cell>
          <cell r="F37">
            <v>0</v>
          </cell>
          <cell r="G37">
            <v>0</v>
          </cell>
          <cell r="H37">
            <v>0</v>
          </cell>
          <cell r="I37">
            <v>0</v>
          </cell>
          <cell r="J37">
            <v>0</v>
          </cell>
          <cell r="K37">
            <v>0</v>
          </cell>
          <cell r="L37">
            <v>-37446290000</v>
          </cell>
        </row>
        <row r="38">
          <cell r="A38" t="str">
            <v>LT - CAS</v>
          </cell>
          <cell r="B38">
            <v>-5464666637.04</v>
          </cell>
          <cell r="C38">
            <v>0</v>
          </cell>
          <cell r="D38">
            <v>0</v>
          </cell>
          <cell r="E38">
            <v>0</v>
          </cell>
          <cell r="F38">
            <v>0</v>
          </cell>
          <cell r="G38">
            <v>0</v>
          </cell>
          <cell r="H38">
            <v>65537520.890000001</v>
          </cell>
          <cell r="I38">
            <v>181173.7</v>
          </cell>
          <cell r="J38">
            <v>65718694.590000004</v>
          </cell>
          <cell r="K38">
            <v>0</v>
          </cell>
          <cell r="L38">
            <v>-5398947942.4499998</v>
          </cell>
        </row>
        <row r="39">
          <cell r="A39" t="str">
            <v>LT - CAS</v>
          </cell>
          <cell r="B39">
            <v>-5464666637.04</v>
          </cell>
          <cell r="C39">
            <v>0</v>
          </cell>
          <cell r="D39">
            <v>0</v>
          </cell>
          <cell r="E39">
            <v>0</v>
          </cell>
          <cell r="F39">
            <v>0</v>
          </cell>
          <cell r="G39">
            <v>0</v>
          </cell>
          <cell r="H39">
            <v>65537520.890000001</v>
          </cell>
          <cell r="I39">
            <v>181173.7</v>
          </cell>
          <cell r="J39">
            <v>65718694.590000004</v>
          </cell>
          <cell r="K39">
            <v>0</v>
          </cell>
          <cell r="L39">
            <v>-5398947942.4499998</v>
          </cell>
        </row>
        <row r="40">
          <cell r="A40" t="str">
            <v>LT - FX Debt</v>
          </cell>
          <cell r="B40">
            <v>-277026053</v>
          </cell>
          <cell r="C40">
            <v>0</v>
          </cell>
          <cell r="D40">
            <v>0</v>
          </cell>
          <cell r="E40">
            <v>0</v>
          </cell>
          <cell r="F40">
            <v>0</v>
          </cell>
          <cell r="G40">
            <v>0</v>
          </cell>
          <cell r="H40">
            <v>0</v>
          </cell>
          <cell r="I40">
            <v>0</v>
          </cell>
          <cell r="J40">
            <v>0</v>
          </cell>
          <cell r="K40">
            <v>-7415468.8600000003</v>
          </cell>
          <cell r="L40">
            <v>-284441521.86000001</v>
          </cell>
        </row>
        <row r="41">
          <cell r="A41" t="str">
            <v>LT - FX Debt</v>
          </cell>
          <cell r="B41">
            <v>-277026053</v>
          </cell>
          <cell r="C41">
            <v>0</v>
          </cell>
          <cell r="D41">
            <v>0</v>
          </cell>
          <cell r="E41">
            <v>0</v>
          </cell>
          <cell r="F41">
            <v>0</v>
          </cell>
          <cell r="G41">
            <v>0</v>
          </cell>
          <cell r="H41">
            <v>0</v>
          </cell>
          <cell r="I41">
            <v>0</v>
          </cell>
          <cell r="J41">
            <v>0</v>
          </cell>
          <cell r="K41">
            <v>-7415468.8600000003</v>
          </cell>
          <cell r="L41">
            <v>-284441521.86000001</v>
          </cell>
        </row>
        <row r="42">
          <cell r="A42" t="str">
            <v>Non-Callable Fixed Rate MTN</v>
          </cell>
          <cell r="B42">
            <v>-8259454326</v>
          </cell>
          <cell r="C42">
            <v>0</v>
          </cell>
          <cell r="D42">
            <v>0</v>
          </cell>
          <cell r="E42">
            <v>0</v>
          </cell>
          <cell r="F42">
            <v>0</v>
          </cell>
          <cell r="G42">
            <v>0</v>
          </cell>
          <cell r="H42">
            <v>80932918</v>
          </cell>
          <cell r="I42">
            <v>0</v>
          </cell>
          <cell r="J42">
            <v>80932918</v>
          </cell>
          <cell r="K42">
            <v>0</v>
          </cell>
          <cell r="L42">
            <v>-8178521408</v>
          </cell>
        </row>
        <row r="43">
          <cell r="A43" t="str">
            <v>Non-Callable Fixed Rate MTN</v>
          </cell>
          <cell r="B43">
            <v>-8259454326</v>
          </cell>
          <cell r="C43">
            <v>0</v>
          </cell>
          <cell r="D43">
            <v>0</v>
          </cell>
          <cell r="E43">
            <v>0</v>
          </cell>
          <cell r="F43">
            <v>0</v>
          </cell>
          <cell r="G43">
            <v>0</v>
          </cell>
          <cell r="H43">
            <v>80932918</v>
          </cell>
          <cell r="I43">
            <v>0</v>
          </cell>
          <cell r="J43">
            <v>80932918</v>
          </cell>
          <cell r="K43">
            <v>0</v>
          </cell>
          <cell r="L43">
            <v>-8178521408</v>
          </cell>
        </row>
        <row r="44">
          <cell r="A44" t="str">
            <v>Total ST Funding + LT Funding Debt (exclude Fed Funds &amp; Repos)</v>
          </cell>
          <cell r="B44">
            <v>-134914127139.74001</v>
          </cell>
          <cell r="C44">
            <v>-6520000000</v>
          </cell>
          <cell r="D44">
            <v>0</v>
          </cell>
          <cell r="E44">
            <v>-6520000000</v>
          </cell>
          <cell r="F44">
            <v>0</v>
          </cell>
          <cell r="G44">
            <v>0</v>
          </cell>
          <cell r="H44">
            <v>8896498650.0799999</v>
          </cell>
          <cell r="I44">
            <v>181173.7</v>
          </cell>
          <cell r="J44">
            <v>8896679823.7800007</v>
          </cell>
          <cell r="K44">
            <v>-7415468.8600000003</v>
          </cell>
          <cell r="L44">
            <v>-132544862784.82001</v>
          </cell>
        </row>
        <row r="45">
          <cell r="A45" t="str">
            <v>Grand Total:</v>
          </cell>
          <cell r="B45">
            <v>-134914127139.74001</v>
          </cell>
          <cell r="C45">
            <v>-6899500000</v>
          </cell>
          <cell r="D45">
            <v>0</v>
          </cell>
          <cell r="E45">
            <v>-6899500000</v>
          </cell>
          <cell r="F45">
            <v>0</v>
          </cell>
          <cell r="G45">
            <v>0</v>
          </cell>
          <cell r="H45">
            <v>9275998650.0799999</v>
          </cell>
          <cell r="I45">
            <v>181173.7</v>
          </cell>
          <cell r="J45">
            <v>9276179823.7800007</v>
          </cell>
          <cell r="K45">
            <v>-7415468.8600000003</v>
          </cell>
          <cell r="L45">
            <v>-132544862784.82001</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unding Summary"/>
      <sheetName val="Debt GL Balances"/>
      <sheetName val="GL Tie out"/>
      <sheetName val="Summary"/>
      <sheetName val="CUSIP Details"/>
    </sheetNames>
    <sheetDataSet>
      <sheetData sheetId="0"/>
      <sheetData sheetId="1"/>
      <sheetData sheetId="2"/>
      <sheetData sheetId="3">
        <row r="5">
          <cell r="A5" t="str">
            <v>Enter Accounting Framework:</v>
          </cell>
          <cell r="B5" t="str">
            <v>GAAP Accounting
Securities Netting</v>
          </cell>
        </row>
        <row r="7">
          <cell r="A7" t="str">
            <v>Date and Time: 12/08/2022 04:58 AM</v>
          </cell>
        </row>
        <row r="8">
          <cell r="A8" t="str">
            <v>Report Environment: PROD</v>
          </cell>
        </row>
        <row r="9">
          <cell r="A9" t="str">
            <v>Report Description: This report shows Debt redemption value (UPB) activity, walking forward from beginning balance to ending balance. All Debt is represented in USD Equivalent only</v>
          </cell>
        </row>
        <row r="10">
          <cell r="A10" t="str">
            <v>Term Type</v>
          </cell>
          <cell r="B10" t="str">
            <v>Beginning Balance</v>
          </cell>
          <cell r="C10" t="str">
            <v>New Issues (-)</v>
          </cell>
          <cell r="D10" t="str">
            <v>Re-opens (-)</v>
          </cell>
          <cell r="E10" t="str">
            <v>Total Issuances (-)</v>
          </cell>
          <cell r="F10" t="str">
            <v>Repurchases (+)</v>
          </cell>
          <cell r="G10" t="str">
            <v>Calls / Puts (+)</v>
          </cell>
          <cell r="H10" t="str">
            <v>Scheduled Paydown / Maturites (+)</v>
          </cell>
          <cell r="I10" t="str">
            <v>Non-Cash Principal Adjustment</v>
          </cell>
          <cell r="J10" t="str">
            <v>Total Redemptions (+)</v>
          </cell>
          <cell r="K10" t="str">
            <v>FX Translation Gain / (Loss)</v>
          </cell>
          <cell r="L10" t="str">
            <v>Report Calculated Ending Balance</v>
          </cell>
        </row>
        <row r="11">
          <cell r="A11" t="str">
            <v>Total Fed Funds Purchased &amp; Repo</v>
          </cell>
          <cell r="B11">
            <v>0</v>
          </cell>
          <cell r="C11">
            <v>-2392504687.5</v>
          </cell>
          <cell r="D11">
            <v>0</v>
          </cell>
          <cell r="E11">
            <v>-2392504687.5</v>
          </cell>
          <cell r="F11">
            <v>0</v>
          </cell>
          <cell r="G11">
            <v>0</v>
          </cell>
          <cell r="H11">
            <v>1729254687.5</v>
          </cell>
          <cell r="I11">
            <v>0</v>
          </cell>
          <cell r="J11">
            <v>1729254687.5</v>
          </cell>
          <cell r="K11">
            <v>0</v>
          </cell>
          <cell r="L11">
            <v>-663250000</v>
          </cell>
        </row>
        <row r="12">
          <cell r="A12" t="str">
            <v>Non-Fair Value Option</v>
          </cell>
          <cell r="B12">
            <v>0</v>
          </cell>
          <cell r="C12">
            <v>-2392504687.5</v>
          </cell>
          <cell r="D12">
            <v>0</v>
          </cell>
          <cell r="E12">
            <v>-2392504687.5</v>
          </cell>
          <cell r="F12">
            <v>0</v>
          </cell>
          <cell r="G12">
            <v>0</v>
          </cell>
          <cell r="H12">
            <v>1729254687.5</v>
          </cell>
          <cell r="I12">
            <v>0</v>
          </cell>
          <cell r="J12">
            <v>1729254687.5</v>
          </cell>
          <cell r="K12">
            <v>0</v>
          </cell>
          <cell r="L12">
            <v>-663250000</v>
          </cell>
        </row>
        <row r="13">
          <cell r="A13" t="str">
            <v>NA</v>
          </cell>
          <cell r="B13">
            <v>0</v>
          </cell>
          <cell r="C13">
            <v>-2392504687.5</v>
          </cell>
          <cell r="D13">
            <v>0</v>
          </cell>
          <cell r="E13">
            <v>-2392504687.5</v>
          </cell>
          <cell r="F13">
            <v>0</v>
          </cell>
          <cell r="G13">
            <v>0</v>
          </cell>
          <cell r="H13">
            <v>1729254687.5</v>
          </cell>
          <cell r="I13">
            <v>0</v>
          </cell>
          <cell r="J13">
            <v>1729254687.5</v>
          </cell>
          <cell r="K13">
            <v>0</v>
          </cell>
          <cell r="L13">
            <v>-663250000</v>
          </cell>
        </row>
        <row r="14">
          <cell r="A14" t="str">
            <v>NA</v>
          </cell>
          <cell r="B14">
            <v>0</v>
          </cell>
          <cell r="C14">
            <v>-2392504687.5</v>
          </cell>
          <cell r="D14">
            <v>0</v>
          </cell>
          <cell r="E14">
            <v>-2392504687.5</v>
          </cell>
          <cell r="F14">
            <v>0</v>
          </cell>
          <cell r="G14">
            <v>0</v>
          </cell>
          <cell r="H14">
            <v>1729254687.5</v>
          </cell>
          <cell r="I14">
            <v>0</v>
          </cell>
          <cell r="J14">
            <v>1729254687.5</v>
          </cell>
          <cell r="K14">
            <v>0</v>
          </cell>
          <cell r="L14">
            <v>-663250000</v>
          </cell>
        </row>
        <row r="15">
          <cell r="A15" t="str">
            <v>DVP Repo</v>
          </cell>
          <cell r="B15">
            <v>0</v>
          </cell>
          <cell r="C15">
            <v>-1392429687.5</v>
          </cell>
          <cell r="D15">
            <v>0</v>
          </cell>
          <cell r="E15">
            <v>-1392429687.5</v>
          </cell>
          <cell r="F15">
            <v>0</v>
          </cell>
          <cell r="G15">
            <v>0</v>
          </cell>
          <cell r="H15">
            <v>729179687.5</v>
          </cell>
          <cell r="I15">
            <v>0</v>
          </cell>
          <cell r="J15">
            <v>729179687.5</v>
          </cell>
          <cell r="K15">
            <v>0</v>
          </cell>
          <cell r="L15">
            <v>-663250000</v>
          </cell>
        </row>
        <row r="16">
          <cell r="A16" t="str">
            <v>DVP Repo</v>
          </cell>
          <cell r="B16">
            <v>0</v>
          </cell>
          <cell r="C16">
            <v>-1392429687.5</v>
          </cell>
          <cell r="D16">
            <v>0</v>
          </cell>
          <cell r="E16">
            <v>-1392429687.5</v>
          </cell>
          <cell r="F16">
            <v>0</v>
          </cell>
          <cell r="G16">
            <v>0</v>
          </cell>
          <cell r="H16">
            <v>729179687.5</v>
          </cell>
          <cell r="I16">
            <v>0</v>
          </cell>
          <cell r="J16">
            <v>729179687.5</v>
          </cell>
          <cell r="K16">
            <v>0</v>
          </cell>
          <cell r="L16">
            <v>-663250000</v>
          </cell>
        </row>
        <row r="17">
          <cell r="A17" t="str">
            <v>Intraday Repo</v>
          </cell>
          <cell r="B17">
            <v>0</v>
          </cell>
          <cell r="C17">
            <v>-1000075000</v>
          </cell>
          <cell r="D17">
            <v>0</v>
          </cell>
          <cell r="E17">
            <v>-1000075000</v>
          </cell>
          <cell r="F17">
            <v>0</v>
          </cell>
          <cell r="G17">
            <v>0</v>
          </cell>
          <cell r="H17">
            <v>1000075000</v>
          </cell>
          <cell r="I17">
            <v>0</v>
          </cell>
          <cell r="J17">
            <v>1000075000</v>
          </cell>
          <cell r="K17">
            <v>0</v>
          </cell>
          <cell r="L17">
            <v>0</v>
          </cell>
        </row>
        <row r="18">
          <cell r="A18" t="str">
            <v>Intraday Repo</v>
          </cell>
          <cell r="B18">
            <v>0</v>
          </cell>
          <cell r="C18">
            <v>-1000075000</v>
          </cell>
          <cell r="D18">
            <v>0</v>
          </cell>
          <cell r="E18">
            <v>-1000075000</v>
          </cell>
          <cell r="F18">
            <v>0</v>
          </cell>
          <cell r="G18">
            <v>0</v>
          </cell>
          <cell r="H18">
            <v>1000075000</v>
          </cell>
          <cell r="I18">
            <v>0</v>
          </cell>
          <cell r="J18">
            <v>1000075000</v>
          </cell>
          <cell r="K18">
            <v>0</v>
          </cell>
          <cell r="L18">
            <v>0</v>
          </cell>
        </row>
        <row r="19">
          <cell r="A19" t="str">
            <v>Total Short Term Funding Term</v>
          </cell>
          <cell r="B19">
            <v>-2795000000</v>
          </cell>
          <cell r="C19">
            <v>-11535738000</v>
          </cell>
          <cell r="D19">
            <v>0</v>
          </cell>
          <cell r="E19">
            <v>-11535738000</v>
          </cell>
          <cell r="F19">
            <v>0</v>
          </cell>
          <cell r="G19">
            <v>0</v>
          </cell>
          <cell r="H19">
            <v>4403932000</v>
          </cell>
          <cell r="I19">
            <v>0</v>
          </cell>
          <cell r="J19">
            <v>4403932000</v>
          </cell>
          <cell r="K19">
            <v>0</v>
          </cell>
          <cell r="L19">
            <v>-9926806000</v>
          </cell>
        </row>
        <row r="20">
          <cell r="A20" t="str">
            <v>Non-Fair Value Option</v>
          </cell>
          <cell r="B20">
            <v>-2795000000</v>
          </cell>
          <cell r="C20">
            <v>-11535738000</v>
          </cell>
          <cell r="D20">
            <v>0</v>
          </cell>
          <cell r="E20">
            <v>-11535738000</v>
          </cell>
          <cell r="F20">
            <v>0</v>
          </cell>
          <cell r="G20">
            <v>0</v>
          </cell>
          <cell r="H20">
            <v>4403932000</v>
          </cell>
          <cell r="I20">
            <v>0</v>
          </cell>
          <cell r="J20">
            <v>4403932000</v>
          </cell>
          <cell r="K20">
            <v>0</v>
          </cell>
          <cell r="L20">
            <v>-9926806000</v>
          </cell>
        </row>
        <row r="21">
          <cell r="A21" t="str">
            <v>NA</v>
          </cell>
          <cell r="B21">
            <v>-2795000000</v>
          </cell>
          <cell r="C21">
            <v>-11535738000</v>
          </cell>
          <cell r="D21">
            <v>0</v>
          </cell>
          <cell r="E21">
            <v>-11535738000</v>
          </cell>
          <cell r="F21">
            <v>0</v>
          </cell>
          <cell r="G21">
            <v>0</v>
          </cell>
          <cell r="H21">
            <v>4403932000</v>
          </cell>
          <cell r="I21">
            <v>0</v>
          </cell>
          <cell r="J21">
            <v>4403932000</v>
          </cell>
          <cell r="K21">
            <v>0</v>
          </cell>
          <cell r="L21">
            <v>-9926806000</v>
          </cell>
        </row>
        <row r="22">
          <cell r="A22" t="str">
            <v>NA</v>
          </cell>
          <cell r="B22">
            <v>-2795000000</v>
          </cell>
          <cell r="C22">
            <v>-11535738000</v>
          </cell>
          <cell r="D22">
            <v>0</v>
          </cell>
          <cell r="E22">
            <v>-11535738000</v>
          </cell>
          <cell r="F22">
            <v>0</v>
          </cell>
          <cell r="G22">
            <v>0</v>
          </cell>
          <cell r="H22">
            <v>4403932000</v>
          </cell>
          <cell r="I22">
            <v>0</v>
          </cell>
          <cell r="J22">
            <v>4403932000</v>
          </cell>
          <cell r="K22">
            <v>0</v>
          </cell>
          <cell r="L22">
            <v>-9926806000</v>
          </cell>
        </row>
        <row r="23">
          <cell r="A23" t="str">
            <v>ST-Debt</v>
          </cell>
          <cell r="B23">
            <v>-2795000000</v>
          </cell>
          <cell r="C23">
            <v>-11535738000</v>
          </cell>
          <cell r="D23">
            <v>0</v>
          </cell>
          <cell r="E23">
            <v>-11535738000</v>
          </cell>
          <cell r="F23">
            <v>0</v>
          </cell>
          <cell r="G23">
            <v>0</v>
          </cell>
          <cell r="H23">
            <v>4403932000</v>
          </cell>
          <cell r="I23">
            <v>0</v>
          </cell>
          <cell r="J23">
            <v>4403932000</v>
          </cell>
          <cell r="K23">
            <v>0</v>
          </cell>
          <cell r="L23">
            <v>-9926806000</v>
          </cell>
        </row>
        <row r="24">
          <cell r="A24" t="str">
            <v>ST-Debt</v>
          </cell>
          <cell r="B24">
            <v>-2795000000</v>
          </cell>
          <cell r="C24">
            <v>-11535738000</v>
          </cell>
          <cell r="D24">
            <v>0</v>
          </cell>
          <cell r="E24">
            <v>-11535738000</v>
          </cell>
          <cell r="F24">
            <v>0</v>
          </cell>
          <cell r="G24">
            <v>0</v>
          </cell>
          <cell r="H24">
            <v>4403932000</v>
          </cell>
          <cell r="I24">
            <v>0</v>
          </cell>
          <cell r="J24">
            <v>4403932000</v>
          </cell>
          <cell r="K24">
            <v>0</v>
          </cell>
          <cell r="L24">
            <v>-9926806000</v>
          </cell>
        </row>
        <row r="25">
          <cell r="A25" t="str">
            <v>Total Long Term Funding Debt</v>
          </cell>
          <cell r="B25">
            <v>-129749862784.82001</v>
          </cell>
          <cell r="C25">
            <v>-705000000</v>
          </cell>
          <cell r="D25">
            <v>-25000000</v>
          </cell>
          <cell r="E25">
            <v>-730000000</v>
          </cell>
          <cell r="F25">
            <v>0</v>
          </cell>
          <cell r="G25">
            <v>0</v>
          </cell>
          <cell r="H25">
            <v>131882965.84</v>
          </cell>
          <cell r="I25">
            <v>50365.86</v>
          </cell>
          <cell r="J25">
            <v>131933331.7</v>
          </cell>
          <cell r="K25">
            <v>-14607730.1</v>
          </cell>
          <cell r="L25">
            <v>-130362537183.22</v>
          </cell>
        </row>
        <row r="26">
          <cell r="A26" t="str">
            <v>Fair Value Option</v>
          </cell>
          <cell r="B26">
            <v>-1701995912.51</v>
          </cell>
          <cell r="C26">
            <v>0</v>
          </cell>
          <cell r="D26">
            <v>0</v>
          </cell>
          <cell r="E26">
            <v>0</v>
          </cell>
          <cell r="F26">
            <v>0</v>
          </cell>
          <cell r="G26">
            <v>0</v>
          </cell>
          <cell r="H26">
            <v>25534397.23</v>
          </cell>
          <cell r="I26">
            <v>0</v>
          </cell>
          <cell r="J26">
            <v>25534397.23</v>
          </cell>
          <cell r="K26">
            <v>0</v>
          </cell>
          <cell r="L26">
            <v>-1676461515.28</v>
          </cell>
        </row>
        <row r="27">
          <cell r="A27" t="str">
            <v>NA</v>
          </cell>
          <cell r="B27">
            <v>-1701995912.51</v>
          </cell>
          <cell r="C27">
            <v>0</v>
          </cell>
          <cell r="D27">
            <v>0</v>
          </cell>
          <cell r="E27">
            <v>0</v>
          </cell>
          <cell r="F27">
            <v>0</v>
          </cell>
          <cell r="G27">
            <v>0</v>
          </cell>
          <cell r="H27">
            <v>25534397.23</v>
          </cell>
          <cell r="I27">
            <v>0</v>
          </cell>
          <cell r="J27">
            <v>25534397.23</v>
          </cell>
          <cell r="K27">
            <v>0</v>
          </cell>
          <cell r="L27">
            <v>-1676461515.28</v>
          </cell>
        </row>
        <row r="28">
          <cell r="A28" t="str">
            <v>NA</v>
          </cell>
          <cell r="B28">
            <v>-1701995912.51</v>
          </cell>
          <cell r="C28">
            <v>0</v>
          </cell>
          <cell r="D28">
            <v>0</v>
          </cell>
          <cell r="E28">
            <v>0</v>
          </cell>
          <cell r="F28">
            <v>0</v>
          </cell>
          <cell r="G28">
            <v>0</v>
          </cell>
          <cell r="H28">
            <v>25534397.23</v>
          </cell>
          <cell r="I28">
            <v>0</v>
          </cell>
          <cell r="J28">
            <v>25534397.23</v>
          </cell>
          <cell r="K28">
            <v>0</v>
          </cell>
          <cell r="L28">
            <v>-1676461515.28</v>
          </cell>
        </row>
        <row r="29">
          <cell r="A29" t="str">
            <v>LT - CAS</v>
          </cell>
          <cell r="B29">
            <v>-1451995912.51</v>
          </cell>
          <cell r="C29">
            <v>0</v>
          </cell>
          <cell r="D29">
            <v>0</v>
          </cell>
          <cell r="E29">
            <v>0</v>
          </cell>
          <cell r="F29">
            <v>0</v>
          </cell>
          <cell r="G29">
            <v>0</v>
          </cell>
          <cell r="H29">
            <v>25534397.23</v>
          </cell>
          <cell r="I29">
            <v>0</v>
          </cell>
          <cell r="J29">
            <v>25534397.23</v>
          </cell>
          <cell r="K29">
            <v>0</v>
          </cell>
          <cell r="L29">
            <v>-1426461515.28</v>
          </cell>
        </row>
        <row r="30">
          <cell r="A30" t="str">
            <v>LT - CAS</v>
          </cell>
          <cell r="B30">
            <v>-1451995912.51</v>
          </cell>
          <cell r="C30">
            <v>0</v>
          </cell>
          <cell r="D30">
            <v>0</v>
          </cell>
          <cell r="E30">
            <v>0</v>
          </cell>
          <cell r="F30">
            <v>0</v>
          </cell>
          <cell r="G30">
            <v>0</v>
          </cell>
          <cell r="H30">
            <v>25534397.23</v>
          </cell>
          <cell r="I30">
            <v>0</v>
          </cell>
          <cell r="J30">
            <v>25534397.23</v>
          </cell>
          <cell r="K30">
            <v>0</v>
          </cell>
          <cell r="L30">
            <v>-1426461515.28</v>
          </cell>
        </row>
        <row r="31">
          <cell r="A31" t="str">
            <v>Non-Callable Floating Rate MTN</v>
          </cell>
          <cell r="B31">
            <v>-250000000</v>
          </cell>
          <cell r="C31">
            <v>0</v>
          </cell>
          <cell r="D31">
            <v>0</v>
          </cell>
          <cell r="E31">
            <v>0</v>
          </cell>
          <cell r="F31">
            <v>0</v>
          </cell>
          <cell r="G31">
            <v>0</v>
          </cell>
          <cell r="H31">
            <v>0</v>
          </cell>
          <cell r="I31">
            <v>0</v>
          </cell>
          <cell r="J31">
            <v>0</v>
          </cell>
          <cell r="K31">
            <v>0</v>
          </cell>
          <cell r="L31">
            <v>-250000000</v>
          </cell>
        </row>
        <row r="32">
          <cell r="A32" t="str">
            <v>Non-Callable Floating Rate MTN</v>
          </cell>
          <cell r="B32">
            <v>-250000000</v>
          </cell>
          <cell r="C32">
            <v>0</v>
          </cell>
          <cell r="D32">
            <v>0</v>
          </cell>
          <cell r="E32">
            <v>0</v>
          </cell>
          <cell r="F32">
            <v>0</v>
          </cell>
          <cell r="G32">
            <v>0</v>
          </cell>
          <cell r="H32">
            <v>0</v>
          </cell>
          <cell r="I32">
            <v>0</v>
          </cell>
          <cell r="J32">
            <v>0</v>
          </cell>
          <cell r="K32">
            <v>0</v>
          </cell>
          <cell r="L32">
            <v>-250000000</v>
          </cell>
        </row>
        <row r="33">
          <cell r="A33" t="str">
            <v>Non-Fair Value Option</v>
          </cell>
          <cell r="B33">
            <v>-128047866872.31</v>
          </cell>
          <cell r="C33">
            <v>-705000000</v>
          </cell>
          <cell r="D33">
            <v>-25000000</v>
          </cell>
          <cell r="E33">
            <v>-730000000</v>
          </cell>
          <cell r="F33">
            <v>0</v>
          </cell>
          <cell r="G33">
            <v>0</v>
          </cell>
          <cell r="H33">
            <v>106348568.61</v>
          </cell>
          <cell r="I33">
            <v>50365.86</v>
          </cell>
          <cell r="J33">
            <v>106398934.47</v>
          </cell>
          <cell r="K33">
            <v>-14607730.1</v>
          </cell>
          <cell r="L33">
            <v>-128686075667.94</v>
          </cell>
        </row>
        <row r="34">
          <cell r="A34" t="str">
            <v>NA</v>
          </cell>
          <cell r="B34">
            <v>-128047866872.31</v>
          </cell>
          <cell r="C34">
            <v>-705000000</v>
          </cell>
          <cell r="D34">
            <v>-25000000</v>
          </cell>
          <cell r="E34">
            <v>-730000000</v>
          </cell>
          <cell r="F34">
            <v>0</v>
          </cell>
          <cell r="G34">
            <v>0</v>
          </cell>
          <cell r="H34">
            <v>106348568.61</v>
          </cell>
          <cell r="I34">
            <v>50365.86</v>
          </cell>
          <cell r="J34">
            <v>106398934.47</v>
          </cell>
          <cell r="K34">
            <v>-14607730.1</v>
          </cell>
          <cell r="L34">
            <v>-128686075667.94</v>
          </cell>
        </row>
        <row r="35">
          <cell r="A35" t="str">
            <v>NA</v>
          </cell>
          <cell r="B35">
            <v>-128047866872.31</v>
          </cell>
          <cell r="C35">
            <v>-705000000</v>
          </cell>
          <cell r="D35">
            <v>-25000000</v>
          </cell>
          <cell r="E35">
            <v>-730000000</v>
          </cell>
          <cell r="F35">
            <v>0</v>
          </cell>
          <cell r="G35">
            <v>0</v>
          </cell>
          <cell r="H35">
            <v>106348568.61</v>
          </cell>
          <cell r="I35">
            <v>50365.86</v>
          </cell>
          <cell r="J35">
            <v>106398934.47</v>
          </cell>
          <cell r="K35">
            <v>-14607730.1</v>
          </cell>
          <cell r="L35">
            <v>-128686075667.94</v>
          </cell>
        </row>
        <row r="36">
          <cell r="A36" t="str">
            <v>Benchmark Notes &amp; Bonds</v>
          </cell>
          <cell r="B36">
            <v>-76739666000</v>
          </cell>
          <cell r="C36">
            <v>0</v>
          </cell>
          <cell r="D36">
            <v>0</v>
          </cell>
          <cell r="E36">
            <v>0</v>
          </cell>
          <cell r="F36">
            <v>0</v>
          </cell>
          <cell r="G36">
            <v>0</v>
          </cell>
          <cell r="H36">
            <v>0</v>
          </cell>
          <cell r="I36">
            <v>0</v>
          </cell>
          <cell r="J36">
            <v>0</v>
          </cell>
          <cell r="K36">
            <v>0</v>
          </cell>
          <cell r="L36">
            <v>-76739666000</v>
          </cell>
        </row>
        <row r="37">
          <cell r="A37" t="str">
            <v>Benchmark Notes &amp; Bonds</v>
          </cell>
          <cell r="B37">
            <v>-76739666000</v>
          </cell>
          <cell r="C37">
            <v>0</v>
          </cell>
          <cell r="D37">
            <v>0</v>
          </cell>
          <cell r="E37">
            <v>0</v>
          </cell>
          <cell r="F37">
            <v>0</v>
          </cell>
          <cell r="G37">
            <v>0</v>
          </cell>
          <cell r="H37">
            <v>0</v>
          </cell>
          <cell r="I37">
            <v>0</v>
          </cell>
          <cell r="J37">
            <v>0</v>
          </cell>
          <cell r="K37">
            <v>0</v>
          </cell>
          <cell r="L37">
            <v>-76739666000</v>
          </cell>
        </row>
        <row r="38">
          <cell r="A38" t="str">
            <v>Callable Fixed Rate MTN</v>
          </cell>
          <cell r="B38">
            <v>-37331290000</v>
          </cell>
          <cell r="C38">
            <v>-705000000</v>
          </cell>
          <cell r="D38">
            <v>-25000000</v>
          </cell>
          <cell r="E38">
            <v>-730000000</v>
          </cell>
          <cell r="F38">
            <v>0</v>
          </cell>
          <cell r="G38">
            <v>0</v>
          </cell>
          <cell r="H38">
            <v>0</v>
          </cell>
          <cell r="I38">
            <v>0</v>
          </cell>
          <cell r="J38">
            <v>0</v>
          </cell>
          <cell r="K38">
            <v>0</v>
          </cell>
          <cell r="L38">
            <v>-38061290000</v>
          </cell>
        </row>
        <row r="39">
          <cell r="A39" t="str">
            <v>Callable Fixed Rate MTN</v>
          </cell>
          <cell r="B39">
            <v>-37331290000</v>
          </cell>
          <cell r="C39">
            <v>-705000000</v>
          </cell>
          <cell r="D39">
            <v>-25000000</v>
          </cell>
          <cell r="E39">
            <v>-730000000</v>
          </cell>
          <cell r="F39">
            <v>0</v>
          </cell>
          <cell r="G39">
            <v>0</v>
          </cell>
          <cell r="H39">
            <v>0</v>
          </cell>
          <cell r="I39">
            <v>0</v>
          </cell>
          <cell r="J39">
            <v>0</v>
          </cell>
          <cell r="K39">
            <v>0</v>
          </cell>
          <cell r="L39">
            <v>-38061290000</v>
          </cell>
        </row>
        <row r="40">
          <cell r="A40" t="str">
            <v>LT - CAS</v>
          </cell>
          <cell r="B40">
            <v>-5398947942.4499998</v>
          </cell>
          <cell r="C40">
            <v>0</v>
          </cell>
          <cell r="D40">
            <v>0</v>
          </cell>
          <cell r="E40">
            <v>0</v>
          </cell>
          <cell r="F40">
            <v>0</v>
          </cell>
          <cell r="G40">
            <v>0</v>
          </cell>
          <cell r="H40">
            <v>56348568.609999999</v>
          </cell>
          <cell r="I40">
            <v>50365.86</v>
          </cell>
          <cell r="J40">
            <v>56398934.469999999</v>
          </cell>
          <cell r="K40">
            <v>0</v>
          </cell>
          <cell r="L40">
            <v>-5342549007.9799995</v>
          </cell>
        </row>
        <row r="41">
          <cell r="A41" t="str">
            <v>LT - CAS</v>
          </cell>
          <cell r="B41">
            <v>-5398947942.4499998</v>
          </cell>
          <cell r="C41">
            <v>0</v>
          </cell>
          <cell r="D41">
            <v>0</v>
          </cell>
          <cell r="E41">
            <v>0</v>
          </cell>
          <cell r="F41">
            <v>0</v>
          </cell>
          <cell r="G41">
            <v>0</v>
          </cell>
          <cell r="H41">
            <v>56348568.609999999</v>
          </cell>
          <cell r="I41">
            <v>50365.86</v>
          </cell>
          <cell r="J41">
            <v>56398934.469999999</v>
          </cell>
          <cell r="K41">
            <v>0</v>
          </cell>
          <cell r="L41">
            <v>-5342549007.9799995</v>
          </cell>
        </row>
        <row r="42">
          <cell r="A42" t="str">
            <v>LT - FX Debt</v>
          </cell>
          <cell r="B42">
            <v>-284441521.86000001</v>
          </cell>
          <cell r="C42">
            <v>0</v>
          </cell>
          <cell r="D42">
            <v>0</v>
          </cell>
          <cell r="E42">
            <v>0</v>
          </cell>
          <cell r="F42">
            <v>0</v>
          </cell>
          <cell r="G42">
            <v>0</v>
          </cell>
          <cell r="H42">
            <v>0</v>
          </cell>
          <cell r="I42">
            <v>0</v>
          </cell>
          <cell r="J42">
            <v>0</v>
          </cell>
          <cell r="K42">
            <v>-14607730.1</v>
          </cell>
          <cell r="L42">
            <v>-299049251.95999998</v>
          </cell>
        </row>
        <row r="43">
          <cell r="A43" t="str">
            <v>LT - FX Debt</v>
          </cell>
          <cell r="B43">
            <v>-284441521.86000001</v>
          </cell>
          <cell r="C43">
            <v>0</v>
          </cell>
          <cell r="D43">
            <v>0</v>
          </cell>
          <cell r="E43">
            <v>0</v>
          </cell>
          <cell r="F43">
            <v>0</v>
          </cell>
          <cell r="G43">
            <v>0</v>
          </cell>
          <cell r="H43">
            <v>0</v>
          </cell>
          <cell r="I43">
            <v>0</v>
          </cell>
          <cell r="J43">
            <v>0</v>
          </cell>
          <cell r="K43">
            <v>-14607730.1</v>
          </cell>
          <cell r="L43">
            <v>-299049251.95999998</v>
          </cell>
        </row>
        <row r="44">
          <cell r="A44" t="str">
            <v>Non-Callable Fixed Rate MTN</v>
          </cell>
          <cell r="B44">
            <v>-8293521408</v>
          </cell>
          <cell r="C44">
            <v>0</v>
          </cell>
          <cell r="D44">
            <v>0</v>
          </cell>
          <cell r="E44">
            <v>0</v>
          </cell>
          <cell r="F44">
            <v>0</v>
          </cell>
          <cell r="G44">
            <v>0</v>
          </cell>
          <cell r="H44">
            <v>50000000</v>
          </cell>
          <cell r="I44">
            <v>0</v>
          </cell>
          <cell r="J44">
            <v>50000000</v>
          </cell>
          <cell r="K44">
            <v>0</v>
          </cell>
          <cell r="L44">
            <v>-8243521408</v>
          </cell>
        </row>
        <row r="45">
          <cell r="A45" t="str">
            <v>Non-Callable Fixed Rate MTN</v>
          </cell>
          <cell r="B45">
            <v>-8293521408</v>
          </cell>
          <cell r="C45">
            <v>0</v>
          </cell>
          <cell r="D45">
            <v>0</v>
          </cell>
          <cell r="E45">
            <v>0</v>
          </cell>
          <cell r="F45">
            <v>0</v>
          </cell>
          <cell r="G45">
            <v>0</v>
          </cell>
          <cell r="H45">
            <v>50000000</v>
          </cell>
          <cell r="I45">
            <v>0</v>
          </cell>
          <cell r="J45">
            <v>50000000</v>
          </cell>
          <cell r="K45">
            <v>0</v>
          </cell>
          <cell r="L45">
            <v>-8243521408</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unding Summary"/>
      <sheetName val="Debt GL Balances"/>
      <sheetName val="GL Tie out"/>
      <sheetName val="Summary"/>
      <sheetName val="CUSIP Details"/>
    </sheetNames>
    <sheetDataSet>
      <sheetData sheetId="0"/>
      <sheetData sheetId="1"/>
      <sheetData sheetId="2"/>
      <sheetData sheetId="3">
        <row r="5">
          <cell r="A5" t="str">
            <v>Enter Accounting Framework:</v>
          </cell>
          <cell r="B5" t="str">
            <v>GAAP Accounting
Securities Netting</v>
          </cell>
        </row>
        <row r="7">
          <cell r="A7" t="str">
            <v>Date and Time: 01/04/2023 04:07 AM</v>
          </cell>
        </row>
        <row r="8">
          <cell r="A8" t="str">
            <v>Report Environment: PROD</v>
          </cell>
        </row>
        <row r="9">
          <cell r="A9" t="str">
            <v>Report Description: This report shows Debt redemption value (UPB) activity, walking forward from beginning balance to ending balance. All Debt is represented in USD Equivalent only</v>
          </cell>
        </row>
        <row r="10">
          <cell r="A10" t="str">
            <v>Term Type</v>
          </cell>
          <cell r="B10" t="str">
            <v>Beginning Balance</v>
          </cell>
          <cell r="C10" t="str">
            <v>New Issues (-)</v>
          </cell>
          <cell r="D10" t="str">
            <v>Re-opens (-)</v>
          </cell>
          <cell r="E10" t="str">
            <v>Total Issuances (-)</v>
          </cell>
          <cell r="F10" t="str">
            <v>Repurchases (+)</v>
          </cell>
          <cell r="G10" t="str">
            <v>Calls / Puts (+)</v>
          </cell>
          <cell r="H10" t="str">
            <v>Scheduled Paydown / Maturites (+)</v>
          </cell>
          <cell r="I10" t="str">
            <v>Non-Cash Principal Adjustment</v>
          </cell>
          <cell r="J10" t="str">
            <v>Total Redemptions (+)</v>
          </cell>
          <cell r="K10" t="str">
            <v>FX Translation Gain / (Loss)</v>
          </cell>
          <cell r="L10" t="str">
            <v>Report Calculated Ending Balance</v>
          </cell>
        </row>
        <row r="11">
          <cell r="A11" t="str">
            <v>Total Fed Funds Purchased &amp; Repo</v>
          </cell>
          <cell r="B11">
            <v>-663250000</v>
          </cell>
          <cell r="C11">
            <v>-2666750000</v>
          </cell>
          <cell r="D11">
            <v>0</v>
          </cell>
          <cell r="E11">
            <v>-2666750000</v>
          </cell>
          <cell r="F11">
            <v>0</v>
          </cell>
          <cell r="G11">
            <v>0</v>
          </cell>
          <cell r="H11">
            <v>3330000000</v>
          </cell>
          <cell r="I11">
            <v>0</v>
          </cell>
          <cell r="J11">
            <v>3330000000</v>
          </cell>
          <cell r="K11">
            <v>0</v>
          </cell>
          <cell r="L11">
            <v>0</v>
          </cell>
        </row>
        <row r="12">
          <cell r="A12" t="str">
            <v>Non-Fair Value Option</v>
          </cell>
          <cell r="B12">
            <v>-663250000</v>
          </cell>
          <cell r="C12">
            <v>-2666750000</v>
          </cell>
          <cell r="D12">
            <v>0</v>
          </cell>
          <cell r="E12">
            <v>-2666750000</v>
          </cell>
          <cell r="F12">
            <v>0</v>
          </cell>
          <cell r="G12">
            <v>0</v>
          </cell>
          <cell r="H12">
            <v>3330000000</v>
          </cell>
          <cell r="I12">
            <v>0</v>
          </cell>
          <cell r="J12">
            <v>3330000000</v>
          </cell>
          <cell r="K12">
            <v>0</v>
          </cell>
          <cell r="L12">
            <v>0</v>
          </cell>
        </row>
        <row r="13">
          <cell r="A13" t="str">
            <v>NA</v>
          </cell>
          <cell r="B13">
            <v>-663250000</v>
          </cell>
          <cell r="C13">
            <v>-2666750000</v>
          </cell>
          <cell r="D13">
            <v>0</v>
          </cell>
          <cell r="E13">
            <v>-2666750000</v>
          </cell>
          <cell r="F13">
            <v>0</v>
          </cell>
          <cell r="G13">
            <v>0</v>
          </cell>
          <cell r="H13">
            <v>3330000000</v>
          </cell>
          <cell r="I13">
            <v>0</v>
          </cell>
          <cell r="J13">
            <v>3330000000</v>
          </cell>
          <cell r="K13">
            <v>0</v>
          </cell>
          <cell r="L13">
            <v>0</v>
          </cell>
        </row>
        <row r="14">
          <cell r="A14" t="str">
            <v>NA</v>
          </cell>
          <cell r="B14">
            <v>-663250000</v>
          </cell>
          <cell r="C14">
            <v>-2666750000</v>
          </cell>
          <cell r="D14">
            <v>0</v>
          </cell>
          <cell r="E14">
            <v>-2666750000</v>
          </cell>
          <cell r="F14">
            <v>0</v>
          </cell>
          <cell r="G14">
            <v>0</v>
          </cell>
          <cell r="H14">
            <v>3330000000</v>
          </cell>
          <cell r="I14">
            <v>0</v>
          </cell>
          <cell r="J14">
            <v>3330000000</v>
          </cell>
          <cell r="K14">
            <v>0</v>
          </cell>
          <cell r="L14">
            <v>0</v>
          </cell>
        </row>
        <row r="15">
          <cell r="A15" t="str">
            <v>DVP Repo</v>
          </cell>
          <cell r="B15">
            <v>-663250000</v>
          </cell>
          <cell r="C15">
            <v>-666750000</v>
          </cell>
          <cell r="D15">
            <v>0</v>
          </cell>
          <cell r="E15">
            <v>-666750000</v>
          </cell>
          <cell r="F15">
            <v>0</v>
          </cell>
          <cell r="G15">
            <v>0</v>
          </cell>
          <cell r="H15">
            <v>1330000000</v>
          </cell>
          <cell r="I15">
            <v>0</v>
          </cell>
          <cell r="J15">
            <v>1330000000</v>
          </cell>
          <cell r="K15">
            <v>0</v>
          </cell>
          <cell r="L15">
            <v>0</v>
          </cell>
        </row>
        <row r="16">
          <cell r="A16" t="str">
            <v>DVP Repo</v>
          </cell>
          <cell r="B16">
            <v>-663250000</v>
          </cell>
          <cell r="C16">
            <v>-666750000</v>
          </cell>
          <cell r="D16">
            <v>0</v>
          </cell>
          <cell r="E16">
            <v>-666750000</v>
          </cell>
          <cell r="F16">
            <v>0</v>
          </cell>
          <cell r="G16">
            <v>0</v>
          </cell>
          <cell r="H16">
            <v>1330000000</v>
          </cell>
          <cell r="I16">
            <v>0</v>
          </cell>
          <cell r="J16">
            <v>1330000000</v>
          </cell>
          <cell r="K16">
            <v>0</v>
          </cell>
          <cell r="L16">
            <v>0</v>
          </cell>
        </row>
        <row r="17">
          <cell r="A17" t="str">
            <v>Intraday Repo</v>
          </cell>
          <cell r="B17">
            <v>0</v>
          </cell>
          <cell r="C17">
            <v>-2000000000</v>
          </cell>
          <cell r="D17">
            <v>0</v>
          </cell>
          <cell r="E17">
            <v>-2000000000</v>
          </cell>
          <cell r="F17">
            <v>0</v>
          </cell>
          <cell r="G17">
            <v>0</v>
          </cell>
          <cell r="H17">
            <v>2000000000</v>
          </cell>
          <cell r="I17">
            <v>0</v>
          </cell>
          <cell r="J17">
            <v>2000000000</v>
          </cell>
          <cell r="K17">
            <v>0</v>
          </cell>
          <cell r="L17">
            <v>0</v>
          </cell>
        </row>
        <row r="18">
          <cell r="A18" t="str">
            <v>Intraday Repo</v>
          </cell>
          <cell r="B18">
            <v>0</v>
          </cell>
          <cell r="C18">
            <v>-2000000000</v>
          </cell>
          <cell r="D18">
            <v>0</v>
          </cell>
          <cell r="E18">
            <v>-2000000000</v>
          </cell>
          <cell r="F18">
            <v>0</v>
          </cell>
          <cell r="G18">
            <v>0</v>
          </cell>
          <cell r="H18">
            <v>2000000000</v>
          </cell>
          <cell r="I18">
            <v>0</v>
          </cell>
          <cell r="J18">
            <v>2000000000</v>
          </cell>
          <cell r="K18">
            <v>0</v>
          </cell>
          <cell r="L18">
            <v>0</v>
          </cell>
        </row>
        <row r="19">
          <cell r="A19" t="str">
            <v>Total Short Term Funding Term</v>
          </cell>
          <cell r="B19">
            <v>-9926806000</v>
          </cell>
          <cell r="C19">
            <v>-16091792000</v>
          </cell>
          <cell r="D19">
            <v>0</v>
          </cell>
          <cell r="E19">
            <v>-16091792000</v>
          </cell>
          <cell r="F19">
            <v>0</v>
          </cell>
          <cell r="G19">
            <v>0</v>
          </cell>
          <cell r="H19">
            <v>15789937000</v>
          </cell>
          <cell r="I19">
            <v>0</v>
          </cell>
          <cell r="J19">
            <v>15789937000</v>
          </cell>
          <cell r="K19">
            <v>0</v>
          </cell>
          <cell r="L19">
            <v>-10228661000</v>
          </cell>
        </row>
        <row r="20">
          <cell r="A20" t="str">
            <v>Non-Fair Value Option</v>
          </cell>
          <cell r="B20">
            <v>-9926806000</v>
          </cell>
          <cell r="C20">
            <v>-15501792000</v>
          </cell>
          <cell r="D20">
            <v>0</v>
          </cell>
          <cell r="E20">
            <v>-15501792000</v>
          </cell>
          <cell r="F20">
            <v>0</v>
          </cell>
          <cell r="G20">
            <v>0</v>
          </cell>
          <cell r="H20">
            <v>15789937000</v>
          </cell>
          <cell r="I20">
            <v>0</v>
          </cell>
          <cell r="J20">
            <v>15789937000</v>
          </cell>
          <cell r="K20">
            <v>0</v>
          </cell>
          <cell r="L20">
            <v>-9638661000</v>
          </cell>
        </row>
        <row r="21">
          <cell r="A21" t="str">
            <v>NA</v>
          </cell>
          <cell r="B21">
            <v>-9926806000</v>
          </cell>
          <cell r="C21">
            <v>-15501792000</v>
          </cell>
          <cell r="D21">
            <v>0</v>
          </cell>
          <cell r="E21">
            <v>-15501792000</v>
          </cell>
          <cell r="F21">
            <v>0</v>
          </cell>
          <cell r="G21">
            <v>0</v>
          </cell>
          <cell r="H21">
            <v>15789937000</v>
          </cell>
          <cell r="I21">
            <v>0</v>
          </cell>
          <cell r="J21">
            <v>15789937000</v>
          </cell>
          <cell r="K21">
            <v>0</v>
          </cell>
          <cell r="L21">
            <v>-9638661000</v>
          </cell>
        </row>
        <row r="22">
          <cell r="A22" t="str">
            <v>NA</v>
          </cell>
          <cell r="B22">
            <v>-9926806000</v>
          </cell>
          <cell r="C22">
            <v>-15501792000</v>
          </cell>
          <cell r="D22">
            <v>0</v>
          </cell>
          <cell r="E22">
            <v>-15501792000</v>
          </cell>
          <cell r="F22">
            <v>0</v>
          </cell>
          <cell r="G22">
            <v>0</v>
          </cell>
          <cell r="H22">
            <v>15789937000</v>
          </cell>
          <cell r="I22">
            <v>0</v>
          </cell>
          <cell r="J22">
            <v>15789937000</v>
          </cell>
          <cell r="K22">
            <v>0</v>
          </cell>
          <cell r="L22">
            <v>-9638661000</v>
          </cell>
        </row>
        <row r="23">
          <cell r="A23" t="str">
            <v>ST-Debt</v>
          </cell>
          <cell r="B23">
            <v>-9926806000</v>
          </cell>
          <cell r="C23">
            <v>-15501792000</v>
          </cell>
          <cell r="D23">
            <v>0</v>
          </cell>
          <cell r="E23">
            <v>-15501792000</v>
          </cell>
          <cell r="F23">
            <v>0</v>
          </cell>
          <cell r="G23">
            <v>0</v>
          </cell>
          <cell r="H23">
            <v>15789937000</v>
          </cell>
          <cell r="I23">
            <v>0</v>
          </cell>
          <cell r="J23">
            <v>15789937000</v>
          </cell>
          <cell r="K23">
            <v>0</v>
          </cell>
          <cell r="L23">
            <v>-9638661000</v>
          </cell>
        </row>
        <row r="24">
          <cell r="A24" t="str">
            <v>ST-Debt</v>
          </cell>
          <cell r="B24">
            <v>-9926806000</v>
          </cell>
          <cell r="C24">
            <v>-15501792000</v>
          </cell>
          <cell r="D24">
            <v>0</v>
          </cell>
          <cell r="E24">
            <v>-15501792000</v>
          </cell>
          <cell r="F24">
            <v>0</v>
          </cell>
          <cell r="G24">
            <v>0</v>
          </cell>
          <cell r="H24">
            <v>15789937000</v>
          </cell>
          <cell r="I24">
            <v>0</v>
          </cell>
          <cell r="J24">
            <v>15789937000</v>
          </cell>
          <cell r="K24">
            <v>0</v>
          </cell>
          <cell r="L24">
            <v>-9638661000</v>
          </cell>
        </row>
        <row r="25">
          <cell r="A25" t="str">
            <v>ST-Debt Callable Fixed Rate MTN</v>
          </cell>
          <cell r="C25">
            <v>-590000000</v>
          </cell>
          <cell r="E25">
            <v>-590000000</v>
          </cell>
          <cell r="L25">
            <v>-590000000</v>
          </cell>
        </row>
        <row r="26">
          <cell r="A26" t="str">
            <v>Total Long Term Funding Debt</v>
          </cell>
          <cell r="B26">
            <v>-130362537183.22</v>
          </cell>
          <cell r="C26">
            <v>-206000000</v>
          </cell>
          <cell r="D26">
            <v>-25000000</v>
          </cell>
          <cell r="E26">
            <v>-231000000</v>
          </cell>
          <cell r="F26">
            <v>0</v>
          </cell>
          <cell r="G26">
            <v>0</v>
          </cell>
          <cell r="H26">
            <v>1570770426.0799999</v>
          </cell>
          <cell r="I26">
            <v>105966.34</v>
          </cell>
          <cell r="J26">
            <v>1570876392.4200001</v>
          </cell>
          <cell r="K26">
            <v>-620022.99</v>
          </cell>
          <cell r="L26">
            <v>-129023280813.78999</v>
          </cell>
        </row>
        <row r="27">
          <cell r="A27" t="str">
            <v>Fair Value Option</v>
          </cell>
          <cell r="B27">
            <v>-1676461515.28</v>
          </cell>
          <cell r="C27">
            <v>0</v>
          </cell>
          <cell r="D27">
            <v>0</v>
          </cell>
          <cell r="E27">
            <v>0</v>
          </cell>
          <cell r="F27">
            <v>0</v>
          </cell>
          <cell r="G27">
            <v>0</v>
          </cell>
          <cell r="H27">
            <v>531801458.56</v>
          </cell>
          <cell r="I27">
            <v>0</v>
          </cell>
          <cell r="J27">
            <v>531801458.56</v>
          </cell>
          <cell r="K27">
            <v>0</v>
          </cell>
          <cell r="L27">
            <v>-1144660056.72</v>
          </cell>
        </row>
        <row r="28">
          <cell r="A28" t="str">
            <v>NA</v>
          </cell>
          <cell r="B28">
            <v>-1676461515.28</v>
          </cell>
          <cell r="C28">
            <v>0</v>
          </cell>
          <cell r="D28">
            <v>0</v>
          </cell>
          <cell r="E28">
            <v>0</v>
          </cell>
          <cell r="F28">
            <v>0</v>
          </cell>
          <cell r="G28">
            <v>0</v>
          </cell>
          <cell r="H28">
            <v>531801458.56</v>
          </cell>
          <cell r="I28">
            <v>0</v>
          </cell>
          <cell r="J28">
            <v>531801458.56</v>
          </cell>
          <cell r="K28">
            <v>0</v>
          </cell>
          <cell r="L28">
            <v>-1144660056.72</v>
          </cell>
        </row>
        <row r="29">
          <cell r="A29" t="str">
            <v>NA</v>
          </cell>
          <cell r="B29">
            <v>-1676461515.28</v>
          </cell>
          <cell r="C29">
            <v>0</v>
          </cell>
          <cell r="D29">
            <v>0</v>
          </cell>
          <cell r="E29">
            <v>0</v>
          </cell>
          <cell r="F29">
            <v>0</v>
          </cell>
          <cell r="G29">
            <v>0</v>
          </cell>
          <cell r="H29">
            <v>531801458.56</v>
          </cell>
          <cell r="I29">
            <v>0</v>
          </cell>
          <cell r="J29">
            <v>531801458.56</v>
          </cell>
          <cell r="K29">
            <v>0</v>
          </cell>
          <cell r="L29">
            <v>-1144660056.72</v>
          </cell>
        </row>
        <row r="30">
          <cell r="A30" t="str">
            <v>LT - CAS</v>
          </cell>
          <cell r="B30">
            <v>-1426461515.28</v>
          </cell>
          <cell r="C30">
            <v>0</v>
          </cell>
          <cell r="D30">
            <v>0</v>
          </cell>
          <cell r="E30">
            <v>0</v>
          </cell>
          <cell r="F30">
            <v>0</v>
          </cell>
          <cell r="G30">
            <v>0</v>
          </cell>
          <cell r="H30">
            <v>531801458.56</v>
          </cell>
          <cell r="I30">
            <v>0</v>
          </cell>
          <cell r="J30">
            <v>531801458.56</v>
          </cell>
          <cell r="K30">
            <v>0</v>
          </cell>
          <cell r="L30">
            <v>-894660056.72000003</v>
          </cell>
        </row>
        <row r="31">
          <cell r="A31" t="str">
            <v>LT - CAS</v>
          </cell>
          <cell r="B31">
            <v>-1426461515.28</v>
          </cell>
          <cell r="C31">
            <v>0</v>
          </cell>
          <cell r="D31">
            <v>0</v>
          </cell>
          <cell r="E31">
            <v>0</v>
          </cell>
          <cell r="F31">
            <v>0</v>
          </cell>
          <cell r="G31">
            <v>0</v>
          </cell>
          <cell r="H31">
            <v>531801458.56</v>
          </cell>
          <cell r="I31">
            <v>0</v>
          </cell>
          <cell r="J31">
            <v>531801458.56</v>
          </cell>
          <cell r="K31">
            <v>0</v>
          </cell>
          <cell r="L31">
            <v>-894660056.72000003</v>
          </cell>
        </row>
        <row r="32">
          <cell r="A32" t="str">
            <v>Non-Callable Floating Rate MTN</v>
          </cell>
          <cell r="B32">
            <v>-250000000</v>
          </cell>
          <cell r="C32">
            <v>0</v>
          </cell>
          <cell r="D32">
            <v>0</v>
          </cell>
          <cell r="E32">
            <v>0</v>
          </cell>
          <cell r="F32">
            <v>0</v>
          </cell>
          <cell r="G32">
            <v>0</v>
          </cell>
          <cell r="H32">
            <v>0</v>
          </cell>
          <cell r="I32">
            <v>0</v>
          </cell>
          <cell r="J32">
            <v>0</v>
          </cell>
          <cell r="K32">
            <v>0</v>
          </cell>
          <cell r="L32">
            <v>-250000000</v>
          </cell>
        </row>
        <row r="33">
          <cell r="A33" t="str">
            <v>Non-Callable Floating Rate MTN</v>
          </cell>
          <cell r="B33">
            <v>-250000000</v>
          </cell>
          <cell r="C33">
            <v>0</v>
          </cell>
          <cell r="D33">
            <v>0</v>
          </cell>
          <cell r="E33">
            <v>0</v>
          </cell>
          <cell r="F33">
            <v>0</v>
          </cell>
          <cell r="G33">
            <v>0</v>
          </cell>
          <cell r="H33">
            <v>0</v>
          </cell>
          <cell r="I33">
            <v>0</v>
          </cell>
          <cell r="J33">
            <v>0</v>
          </cell>
          <cell r="K33">
            <v>0</v>
          </cell>
          <cell r="L33">
            <v>-250000000</v>
          </cell>
        </row>
        <row r="34">
          <cell r="A34" t="str">
            <v>Non-Fair Value Option</v>
          </cell>
          <cell r="B34">
            <v>-128686075667.94</v>
          </cell>
          <cell r="C34">
            <v>-206000000</v>
          </cell>
          <cell r="D34">
            <v>-25000000</v>
          </cell>
          <cell r="E34">
            <v>-231000000</v>
          </cell>
          <cell r="F34">
            <v>0</v>
          </cell>
          <cell r="G34">
            <v>0</v>
          </cell>
          <cell r="H34">
            <v>1038968967.52</v>
          </cell>
          <cell r="I34">
            <v>105966.34</v>
          </cell>
          <cell r="J34">
            <v>1039074933.86</v>
          </cell>
          <cell r="K34">
            <v>-620022.99</v>
          </cell>
          <cell r="L34">
            <v>-127878620757.07001</v>
          </cell>
        </row>
        <row r="35">
          <cell r="A35" t="str">
            <v>NA</v>
          </cell>
          <cell r="B35">
            <v>-128686075667.94</v>
          </cell>
          <cell r="C35">
            <v>-206000000</v>
          </cell>
          <cell r="D35">
            <v>-25000000</v>
          </cell>
          <cell r="E35">
            <v>-231000000</v>
          </cell>
          <cell r="F35">
            <v>0</v>
          </cell>
          <cell r="G35">
            <v>0</v>
          </cell>
          <cell r="H35">
            <v>1038968967.52</v>
          </cell>
          <cell r="I35">
            <v>105966.34</v>
          </cell>
          <cell r="J35">
            <v>1039074933.86</v>
          </cell>
          <cell r="K35">
            <v>-620022.99</v>
          </cell>
          <cell r="L35">
            <v>-127878620757.07001</v>
          </cell>
        </row>
        <row r="36">
          <cell r="A36" t="str">
            <v>NA</v>
          </cell>
          <cell r="B36">
            <v>-128686075667.94</v>
          </cell>
          <cell r="C36">
            <v>-206000000</v>
          </cell>
          <cell r="D36">
            <v>-25000000</v>
          </cell>
          <cell r="E36">
            <v>-231000000</v>
          </cell>
          <cell r="F36">
            <v>0</v>
          </cell>
          <cell r="G36">
            <v>0</v>
          </cell>
          <cell r="H36">
            <v>1038968967.52</v>
          </cell>
          <cell r="I36">
            <v>105966.34</v>
          </cell>
          <cell r="J36">
            <v>1039074933.86</v>
          </cell>
          <cell r="K36">
            <v>-620022.99</v>
          </cell>
          <cell r="L36">
            <v>-127878620757.07001</v>
          </cell>
        </row>
        <row r="37">
          <cell r="A37" t="str">
            <v>Benchmark Notes &amp; Bonds</v>
          </cell>
          <cell r="B37">
            <v>-76739666000</v>
          </cell>
          <cell r="C37">
            <v>0</v>
          </cell>
          <cell r="D37">
            <v>0</v>
          </cell>
          <cell r="E37">
            <v>0</v>
          </cell>
          <cell r="F37">
            <v>0</v>
          </cell>
          <cell r="G37">
            <v>0</v>
          </cell>
          <cell r="H37">
            <v>0</v>
          </cell>
          <cell r="I37">
            <v>0</v>
          </cell>
          <cell r="J37">
            <v>0</v>
          </cell>
          <cell r="K37">
            <v>0</v>
          </cell>
          <cell r="L37">
            <v>-76739666000</v>
          </cell>
        </row>
        <row r="38">
          <cell r="A38" t="str">
            <v>Benchmark Notes &amp; Bonds</v>
          </cell>
          <cell r="B38">
            <v>-76739666000</v>
          </cell>
          <cell r="C38">
            <v>0</v>
          </cell>
          <cell r="D38">
            <v>0</v>
          </cell>
          <cell r="E38">
            <v>0</v>
          </cell>
          <cell r="F38">
            <v>0</v>
          </cell>
          <cell r="G38">
            <v>0</v>
          </cell>
          <cell r="H38">
            <v>0</v>
          </cell>
          <cell r="I38">
            <v>0</v>
          </cell>
          <cell r="J38">
            <v>0</v>
          </cell>
          <cell r="K38">
            <v>0</v>
          </cell>
          <cell r="L38">
            <v>-76739666000</v>
          </cell>
        </row>
        <row r="39">
          <cell r="A39" t="str">
            <v>Callable Fixed Rate MTN</v>
          </cell>
          <cell r="B39">
            <v>-38061290000</v>
          </cell>
          <cell r="C39">
            <v>-206000000</v>
          </cell>
          <cell r="D39">
            <v>-25000000</v>
          </cell>
          <cell r="E39">
            <v>-231000000</v>
          </cell>
          <cell r="F39">
            <v>0</v>
          </cell>
          <cell r="G39">
            <v>0</v>
          </cell>
          <cell r="H39">
            <v>0</v>
          </cell>
          <cell r="I39">
            <v>0</v>
          </cell>
          <cell r="J39">
            <v>0</v>
          </cell>
          <cell r="K39">
            <v>0</v>
          </cell>
          <cell r="L39">
            <v>-38292290000</v>
          </cell>
        </row>
        <row r="40">
          <cell r="A40" t="str">
            <v>Callable Fixed Rate MTN</v>
          </cell>
          <cell r="B40">
            <v>-38061290000</v>
          </cell>
          <cell r="C40">
            <v>-206000000</v>
          </cell>
          <cell r="D40">
            <v>-25000000</v>
          </cell>
          <cell r="E40">
            <v>-231000000</v>
          </cell>
          <cell r="F40">
            <v>0</v>
          </cell>
          <cell r="G40">
            <v>0</v>
          </cell>
          <cell r="H40">
            <v>0</v>
          </cell>
          <cell r="I40">
            <v>0</v>
          </cell>
          <cell r="J40">
            <v>0</v>
          </cell>
          <cell r="K40">
            <v>0</v>
          </cell>
          <cell r="L40">
            <v>-38292290000</v>
          </cell>
        </row>
        <row r="41">
          <cell r="A41" t="str">
            <v>LT - CAS</v>
          </cell>
          <cell r="B41">
            <v>-5342549007.9799995</v>
          </cell>
          <cell r="C41">
            <v>0</v>
          </cell>
          <cell r="D41">
            <v>0</v>
          </cell>
          <cell r="E41">
            <v>0</v>
          </cell>
          <cell r="F41">
            <v>0</v>
          </cell>
          <cell r="G41">
            <v>0</v>
          </cell>
          <cell r="H41">
            <v>1038968967.52</v>
          </cell>
          <cell r="I41">
            <v>105966.34</v>
          </cell>
          <cell r="J41">
            <v>1039074933.86</v>
          </cell>
          <cell r="K41">
            <v>0</v>
          </cell>
          <cell r="L41">
            <v>-4303474074.1199999</v>
          </cell>
        </row>
        <row r="42">
          <cell r="A42" t="str">
            <v>LT - CAS</v>
          </cell>
          <cell r="B42">
            <v>-5342549007.9799995</v>
          </cell>
          <cell r="C42">
            <v>0</v>
          </cell>
          <cell r="D42">
            <v>0</v>
          </cell>
          <cell r="E42">
            <v>0</v>
          </cell>
          <cell r="F42">
            <v>0</v>
          </cell>
          <cell r="G42">
            <v>0</v>
          </cell>
          <cell r="H42">
            <v>1038968967.52</v>
          </cell>
          <cell r="I42">
            <v>105966.34</v>
          </cell>
          <cell r="J42">
            <v>1039074933.86</v>
          </cell>
          <cell r="K42">
            <v>0</v>
          </cell>
          <cell r="L42">
            <v>-4303474074.1199999</v>
          </cell>
        </row>
        <row r="43">
          <cell r="A43" t="str">
            <v>LT - FX Debt</v>
          </cell>
          <cell r="B43">
            <v>-299049251.95999998</v>
          </cell>
          <cell r="C43">
            <v>0</v>
          </cell>
          <cell r="D43">
            <v>0</v>
          </cell>
          <cell r="E43">
            <v>0</v>
          </cell>
          <cell r="F43">
            <v>0</v>
          </cell>
          <cell r="G43">
            <v>0</v>
          </cell>
          <cell r="H43">
            <v>0</v>
          </cell>
          <cell r="I43">
            <v>0</v>
          </cell>
          <cell r="J43">
            <v>0</v>
          </cell>
          <cell r="K43">
            <v>-620022.99</v>
          </cell>
          <cell r="L43">
            <v>-299669274.94999999</v>
          </cell>
        </row>
        <row r="44">
          <cell r="A44" t="str">
            <v>LT - FX Debt</v>
          </cell>
          <cell r="B44">
            <v>-299049251.95999998</v>
          </cell>
          <cell r="C44">
            <v>0</v>
          </cell>
          <cell r="D44">
            <v>0</v>
          </cell>
          <cell r="E44">
            <v>0</v>
          </cell>
          <cell r="F44">
            <v>0</v>
          </cell>
          <cell r="G44">
            <v>0</v>
          </cell>
          <cell r="H44">
            <v>0</v>
          </cell>
          <cell r="I44">
            <v>0</v>
          </cell>
          <cell r="J44">
            <v>0</v>
          </cell>
          <cell r="K44">
            <v>-620022.99</v>
          </cell>
          <cell r="L44">
            <v>-299669274.94999999</v>
          </cell>
        </row>
        <row r="45">
          <cell r="A45" t="str">
            <v>Non-Callable Fixed Rate MTN</v>
          </cell>
          <cell r="B45">
            <v>-8243521408</v>
          </cell>
          <cell r="C45">
            <v>0</v>
          </cell>
          <cell r="D45">
            <v>0</v>
          </cell>
          <cell r="E45">
            <v>0</v>
          </cell>
          <cell r="F45">
            <v>0</v>
          </cell>
          <cell r="G45">
            <v>0</v>
          </cell>
          <cell r="H45">
            <v>0</v>
          </cell>
          <cell r="I45">
            <v>0</v>
          </cell>
          <cell r="J45">
            <v>0</v>
          </cell>
          <cell r="K45">
            <v>0</v>
          </cell>
          <cell r="L45">
            <v>-8243521408</v>
          </cell>
        </row>
        <row r="46">
          <cell r="A46" t="str">
            <v>Non-Callable Fixed Rate MTN</v>
          </cell>
          <cell r="B46">
            <v>-8243521408</v>
          </cell>
          <cell r="C46">
            <v>0</v>
          </cell>
          <cell r="D46">
            <v>0</v>
          </cell>
          <cell r="E46">
            <v>0</v>
          </cell>
          <cell r="F46">
            <v>0</v>
          </cell>
          <cell r="G46">
            <v>0</v>
          </cell>
          <cell r="H46">
            <v>0</v>
          </cell>
          <cell r="I46">
            <v>0</v>
          </cell>
          <cell r="J46">
            <v>0</v>
          </cell>
          <cell r="K46">
            <v>0</v>
          </cell>
          <cell r="L46">
            <v>-8243521408</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GL Tie out"/>
      <sheetName val=" Funding Summary"/>
      <sheetName val="Summary"/>
      <sheetName val="CUSIP Details"/>
    </sheetNames>
    <sheetDataSet>
      <sheetData sheetId="0"/>
      <sheetData sheetId="1"/>
      <sheetData sheetId="2"/>
      <sheetData sheetId="3">
        <row r="5">
          <cell r="A5" t="str">
            <v>Enter Accounting Framework:</v>
          </cell>
          <cell r="B5" t="str">
            <v>GAAP Accounting</v>
          </cell>
        </row>
        <row r="7">
          <cell r="A7" t="str">
            <v>Date and Time: 03/02/2022 10:35 PM</v>
          </cell>
        </row>
        <row r="8">
          <cell r="A8" t="str">
            <v>Report Environment: PROD</v>
          </cell>
        </row>
        <row r="9">
          <cell r="A9" t="str">
            <v>Report Description: This report shows Debt redemption value (UPB) activity, walking forward from beginning balance to ending balance. All Debt is represented in USD Equivalent only</v>
          </cell>
        </row>
        <row r="10">
          <cell r="A10" t="str">
            <v>Term Type</v>
          </cell>
          <cell r="B10" t="str">
            <v>Beginning Balance</v>
          </cell>
          <cell r="C10" t="str">
            <v>New Issues (-)</v>
          </cell>
          <cell r="D10" t="str">
            <v>Re-opens (-)</v>
          </cell>
          <cell r="E10" t="str">
            <v>Total Issuances (-)</v>
          </cell>
          <cell r="F10" t="str">
            <v>Repurchases (+)</v>
          </cell>
          <cell r="G10" t="str">
            <v>Calls / Puts (+)</v>
          </cell>
          <cell r="H10" t="str">
            <v>Scheduled Paydown / Maturites (+)</v>
          </cell>
          <cell r="I10" t="str">
            <v>Non-Cash Principal Adjustment</v>
          </cell>
          <cell r="J10" t="str">
            <v>Total Redemptions (+)</v>
          </cell>
          <cell r="K10" t="str">
            <v>FX Translation Gain / (Loss)</v>
          </cell>
          <cell r="L10" t="str">
            <v>Report Calculated Ending Balance</v>
          </cell>
        </row>
        <row r="11">
          <cell r="A11" t="str">
            <v>Total Fed Funds Purchased &amp; Repo</v>
          </cell>
          <cell r="B11">
            <v>-1722006250</v>
          </cell>
          <cell r="C11">
            <v>-3019125000</v>
          </cell>
          <cell r="D11">
            <v>0</v>
          </cell>
          <cell r="E11">
            <v>-3019125000</v>
          </cell>
          <cell r="F11">
            <v>0</v>
          </cell>
          <cell r="G11">
            <v>0</v>
          </cell>
          <cell r="H11">
            <v>4339631250</v>
          </cell>
          <cell r="I11">
            <v>0</v>
          </cell>
          <cell r="J11">
            <v>4339631250</v>
          </cell>
          <cell r="K11">
            <v>0</v>
          </cell>
          <cell r="L11">
            <v>-401500000</v>
          </cell>
        </row>
        <row r="12">
          <cell r="A12" t="str">
            <v>Non-Fair Value Option</v>
          </cell>
          <cell r="B12">
            <v>-1722006250</v>
          </cell>
          <cell r="C12">
            <v>-3019125000</v>
          </cell>
          <cell r="D12">
            <v>0</v>
          </cell>
          <cell r="E12">
            <v>-3019125000</v>
          </cell>
          <cell r="F12">
            <v>0</v>
          </cell>
          <cell r="G12">
            <v>0</v>
          </cell>
          <cell r="H12">
            <v>4339631250</v>
          </cell>
          <cell r="I12">
            <v>0</v>
          </cell>
          <cell r="J12">
            <v>4339631250</v>
          </cell>
          <cell r="K12">
            <v>0</v>
          </cell>
          <cell r="L12">
            <v>-401500000</v>
          </cell>
        </row>
        <row r="13">
          <cell r="A13" t="str">
            <v>NA</v>
          </cell>
          <cell r="B13">
            <v>-1722006250</v>
          </cell>
          <cell r="C13">
            <v>-3019125000</v>
          </cell>
          <cell r="D13">
            <v>0</v>
          </cell>
          <cell r="E13">
            <v>-3019125000</v>
          </cell>
          <cell r="F13">
            <v>0</v>
          </cell>
          <cell r="G13">
            <v>0</v>
          </cell>
          <cell r="H13">
            <v>4339631250</v>
          </cell>
          <cell r="I13">
            <v>0</v>
          </cell>
          <cell r="J13">
            <v>4339631250</v>
          </cell>
          <cell r="K13">
            <v>0</v>
          </cell>
          <cell r="L13">
            <v>-401500000</v>
          </cell>
        </row>
        <row r="14">
          <cell r="A14" t="str">
            <v>NA</v>
          </cell>
          <cell r="B14">
            <v>-1722006250</v>
          </cell>
          <cell r="C14">
            <v>-3019125000</v>
          </cell>
          <cell r="D14">
            <v>0</v>
          </cell>
          <cell r="E14">
            <v>-3019125000</v>
          </cell>
          <cell r="F14">
            <v>0</v>
          </cell>
          <cell r="G14">
            <v>0</v>
          </cell>
          <cell r="H14">
            <v>4339631250</v>
          </cell>
          <cell r="I14">
            <v>0</v>
          </cell>
          <cell r="J14">
            <v>4339631250</v>
          </cell>
          <cell r="K14">
            <v>0</v>
          </cell>
          <cell r="L14">
            <v>-401500000</v>
          </cell>
        </row>
        <row r="15">
          <cell r="A15" t="str">
            <v>DVP Repo</v>
          </cell>
          <cell r="B15">
            <v>-1722006250</v>
          </cell>
          <cell r="C15">
            <v>-3019125000</v>
          </cell>
          <cell r="D15">
            <v>0</v>
          </cell>
          <cell r="E15">
            <v>-3019125000</v>
          </cell>
          <cell r="F15">
            <v>0</v>
          </cell>
          <cell r="G15">
            <v>0</v>
          </cell>
          <cell r="H15">
            <v>4339631250</v>
          </cell>
          <cell r="I15">
            <v>0</v>
          </cell>
          <cell r="J15">
            <v>4339631250</v>
          </cell>
          <cell r="K15">
            <v>0</v>
          </cell>
          <cell r="L15">
            <v>-401500000</v>
          </cell>
        </row>
        <row r="16">
          <cell r="A16" t="str">
            <v>DVP Repo</v>
          </cell>
          <cell r="B16">
            <v>-1722006250</v>
          </cell>
          <cell r="C16">
            <v>-3019125000</v>
          </cell>
          <cell r="D16">
            <v>0</v>
          </cell>
          <cell r="E16">
            <v>-3019125000</v>
          </cell>
          <cell r="F16">
            <v>0</v>
          </cell>
          <cell r="G16">
            <v>0</v>
          </cell>
          <cell r="H16">
            <v>4339631250</v>
          </cell>
          <cell r="I16">
            <v>0</v>
          </cell>
          <cell r="J16">
            <v>4339631250</v>
          </cell>
          <cell r="K16">
            <v>0</v>
          </cell>
          <cell r="L16">
            <v>-401500000</v>
          </cell>
        </row>
        <row r="17">
          <cell r="A17" t="str">
            <v>Total Short Term Funding Term</v>
          </cell>
          <cell r="B17">
            <v>-2545000000</v>
          </cell>
          <cell r="C17">
            <v>-11000000000</v>
          </cell>
          <cell r="D17">
            <v>0</v>
          </cell>
          <cell r="E17">
            <v>-11000000000</v>
          </cell>
          <cell r="F17">
            <v>0</v>
          </cell>
          <cell r="G17">
            <v>0</v>
          </cell>
          <cell r="H17">
            <v>10750000000</v>
          </cell>
          <cell r="I17">
            <v>0</v>
          </cell>
          <cell r="J17">
            <v>10750000000</v>
          </cell>
          <cell r="K17">
            <v>0</v>
          </cell>
          <cell r="L17">
            <v>-2795000000</v>
          </cell>
        </row>
        <row r="18">
          <cell r="A18" t="str">
            <v>Non-Fair Value Option</v>
          </cell>
          <cell r="B18">
            <v>-2545000000</v>
          </cell>
          <cell r="C18">
            <v>-11000000000</v>
          </cell>
          <cell r="D18">
            <v>0</v>
          </cell>
          <cell r="E18">
            <v>-11000000000</v>
          </cell>
          <cell r="F18">
            <v>0</v>
          </cell>
          <cell r="G18">
            <v>0</v>
          </cell>
          <cell r="H18">
            <v>10750000000</v>
          </cell>
          <cell r="I18">
            <v>0</v>
          </cell>
          <cell r="J18">
            <v>10750000000</v>
          </cell>
          <cell r="K18">
            <v>0</v>
          </cell>
          <cell r="L18">
            <v>-2795000000</v>
          </cell>
        </row>
        <row r="19">
          <cell r="A19" t="str">
            <v>NA</v>
          </cell>
          <cell r="B19">
            <v>-2545000000</v>
          </cell>
          <cell r="C19">
            <v>-11000000000</v>
          </cell>
          <cell r="D19">
            <v>0</v>
          </cell>
          <cell r="E19">
            <v>-11000000000</v>
          </cell>
          <cell r="F19">
            <v>0</v>
          </cell>
          <cell r="G19">
            <v>0</v>
          </cell>
          <cell r="H19">
            <v>10750000000</v>
          </cell>
          <cell r="I19">
            <v>0</v>
          </cell>
          <cell r="J19">
            <v>10750000000</v>
          </cell>
          <cell r="K19">
            <v>0</v>
          </cell>
          <cell r="L19">
            <v>-2795000000</v>
          </cell>
        </row>
        <row r="20">
          <cell r="A20" t="str">
            <v>NA</v>
          </cell>
          <cell r="B20">
            <v>-2545000000</v>
          </cell>
          <cell r="C20">
            <v>-11000000000</v>
          </cell>
          <cell r="D20">
            <v>0</v>
          </cell>
          <cell r="E20">
            <v>-11000000000</v>
          </cell>
          <cell r="F20">
            <v>0</v>
          </cell>
          <cell r="G20">
            <v>0</v>
          </cell>
          <cell r="H20">
            <v>10750000000</v>
          </cell>
          <cell r="I20">
            <v>0</v>
          </cell>
          <cell r="J20">
            <v>10750000000</v>
          </cell>
          <cell r="K20">
            <v>0</v>
          </cell>
          <cell r="L20">
            <v>-2795000000</v>
          </cell>
        </row>
        <row r="21">
          <cell r="A21" t="str">
            <v>ST-Debt</v>
          </cell>
          <cell r="B21">
            <v>-2545000000</v>
          </cell>
          <cell r="C21">
            <v>-11000000000</v>
          </cell>
          <cell r="D21">
            <v>0</v>
          </cell>
          <cell r="E21">
            <v>-11000000000</v>
          </cell>
          <cell r="F21">
            <v>0</v>
          </cell>
          <cell r="G21">
            <v>0</v>
          </cell>
          <cell r="H21">
            <v>10750000000</v>
          </cell>
          <cell r="I21">
            <v>0</v>
          </cell>
          <cell r="J21">
            <v>10750000000</v>
          </cell>
          <cell r="K21">
            <v>0</v>
          </cell>
          <cell r="L21">
            <v>-2795000000</v>
          </cell>
        </row>
        <row r="22">
          <cell r="A22" t="str">
            <v>ST-Debt</v>
          </cell>
          <cell r="B22">
            <v>-2545000000</v>
          </cell>
          <cell r="C22">
            <v>-11000000000</v>
          </cell>
          <cell r="D22">
            <v>0</v>
          </cell>
          <cell r="E22">
            <v>-11000000000</v>
          </cell>
          <cell r="F22">
            <v>0</v>
          </cell>
          <cell r="G22">
            <v>0</v>
          </cell>
          <cell r="H22">
            <v>10750000000</v>
          </cell>
          <cell r="I22">
            <v>0</v>
          </cell>
          <cell r="J22">
            <v>10750000000</v>
          </cell>
          <cell r="K22">
            <v>0</v>
          </cell>
          <cell r="L22">
            <v>-2795000000</v>
          </cell>
        </row>
        <row r="23">
          <cell r="A23" t="str">
            <v>Total Long Term Funding Debt</v>
          </cell>
          <cell r="B23">
            <v>-185992098956.98001</v>
          </cell>
          <cell r="C23">
            <v>0</v>
          </cell>
          <cell r="D23">
            <v>0</v>
          </cell>
          <cell r="E23">
            <v>0</v>
          </cell>
          <cell r="F23">
            <v>0</v>
          </cell>
          <cell r="G23">
            <v>0</v>
          </cell>
          <cell r="H23">
            <v>346364650.76999998</v>
          </cell>
          <cell r="I23">
            <v>27146.04</v>
          </cell>
          <cell r="J23">
            <v>346391796.81</v>
          </cell>
          <cell r="K23">
            <v>669624.30000000005</v>
          </cell>
          <cell r="L23">
            <v>-185645037535.87</v>
          </cell>
        </row>
        <row r="24">
          <cell r="A24" t="str">
            <v>Fair Value Option</v>
          </cell>
          <cell r="B24">
            <v>-2135883761.0999999</v>
          </cell>
          <cell r="C24">
            <v>0</v>
          </cell>
          <cell r="D24">
            <v>0</v>
          </cell>
          <cell r="E24">
            <v>0</v>
          </cell>
          <cell r="F24">
            <v>0</v>
          </cell>
          <cell r="G24">
            <v>0</v>
          </cell>
          <cell r="H24">
            <v>74064614.739999995</v>
          </cell>
          <cell r="I24">
            <v>0</v>
          </cell>
          <cell r="J24">
            <v>74064614.739999995</v>
          </cell>
          <cell r="K24">
            <v>0</v>
          </cell>
          <cell r="L24">
            <v>-2061819146.3599999</v>
          </cell>
        </row>
        <row r="25">
          <cell r="A25" t="str">
            <v>NA</v>
          </cell>
          <cell r="B25">
            <v>-2135883761.0999999</v>
          </cell>
          <cell r="C25">
            <v>0</v>
          </cell>
          <cell r="D25">
            <v>0</v>
          </cell>
          <cell r="E25">
            <v>0</v>
          </cell>
          <cell r="F25">
            <v>0</v>
          </cell>
          <cell r="G25">
            <v>0</v>
          </cell>
          <cell r="H25">
            <v>74064614.739999995</v>
          </cell>
          <cell r="I25">
            <v>0</v>
          </cell>
          <cell r="J25">
            <v>74064614.739999995</v>
          </cell>
          <cell r="K25">
            <v>0</v>
          </cell>
          <cell r="L25">
            <v>-2061819146.3599999</v>
          </cell>
        </row>
        <row r="26">
          <cell r="A26" t="str">
            <v>NA</v>
          </cell>
          <cell r="B26">
            <v>-2135883761.0999999</v>
          </cell>
          <cell r="C26">
            <v>0</v>
          </cell>
          <cell r="D26">
            <v>0</v>
          </cell>
          <cell r="E26">
            <v>0</v>
          </cell>
          <cell r="F26">
            <v>0</v>
          </cell>
          <cell r="G26">
            <v>0</v>
          </cell>
          <cell r="H26">
            <v>74064614.739999995</v>
          </cell>
          <cell r="I26">
            <v>0</v>
          </cell>
          <cell r="J26">
            <v>74064614.739999995</v>
          </cell>
          <cell r="K26">
            <v>0</v>
          </cell>
          <cell r="L26">
            <v>-2061819146.3599999</v>
          </cell>
        </row>
        <row r="27">
          <cell r="A27" t="str">
            <v>LT - CAS</v>
          </cell>
          <cell r="B27">
            <v>-1885883761.0999999</v>
          </cell>
          <cell r="C27">
            <v>0</v>
          </cell>
          <cell r="D27">
            <v>0</v>
          </cell>
          <cell r="E27">
            <v>0</v>
          </cell>
          <cell r="F27">
            <v>0</v>
          </cell>
          <cell r="G27">
            <v>0</v>
          </cell>
          <cell r="H27">
            <v>74064614.739999995</v>
          </cell>
          <cell r="I27">
            <v>0</v>
          </cell>
          <cell r="J27">
            <v>74064614.739999995</v>
          </cell>
          <cell r="K27">
            <v>0</v>
          </cell>
          <cell r="L27">
            <v>-1811819146.3599999</v>
          </cell>
        </row>
        <row r="28">
          <cell r="A28" t="str">
            <v>LT - CAS</v>
          </cell>
          <cell r="B28">
            <v>-1885883761.0999999</v>
          </cell>
          <cell r="C28">
            <v>0</v>
          </cell>
          <cell r="D28">
            <v>0</v>
          </cell>
          <cell r="E28">
            <v>0</v>
          </cell>
          <cell r="F28">
            <v>0</v>
          </cell>
          <cell r="G28">
            <v>0</v>
          </cell>
          <cell r="H28">
            <v>74064614.739999995</v>
          </cell>
          <cell r="I28">
            <v>0</v>
          </cell>
          <cell r="J28">
            <v>74064614.739999995</v>
          </cell>
          <cell r="K28">
            <v>0</v>
          </cell>
          <cell r="L28">
            <v>-1811819146.3599999</v>
          </cell>
        </row>
        <row r="29">
          <cell r="A29" t="str">
            <v>Non-Callable Floating Rate MTN</v>
          </cell>
          <cell r="B29">
            <v>-250000000</v>
          </cell>
          <cell r="C29">
            <v>0</v>
          </cell>
          <cell r="D29">
            <v>0</v>
          </cell>
          <cell r="E29">
            <v>0</v>
          </cell>
          <cell r="F29">
            <v>0</v>
          </cell>
          <cell r="G29">
            <v>0</v>
          </cell>
          <cell r="H29">
            <v>0</v>
          </cell>
          <cell r="I29">
            <v>0</v>
          </cell>
          <cell r="J29">
            <v>0</v>
          </cell>
          <cell r="K29">
            <v>0</v>
          </cell>
          <cell r="L29">
            <v>-250000000</v>
          </cell>
        </row>
        <row r="30">
          <cell r="A30" t="str">
            <v>Non-Callable Floating Rate MTN</v>
          </cell>
          <cell r="B30">
            <v>-250000000</v>
          </cell>
          <cell r="C30">
            <v>0</v>
          </cell>
          <cell r="D30">
            <v>0</v>
          </cell>
          <cell r="E30">
            <v>0</v>
          </cell>
          <cell r="F30">
            <v>0</v>
          </cell>
          <cell r="G30">
            <v>0</v>
          </cell>
          <cell r="H30">
            <v>0</v>
          </cell>
          <cell r="I30">
            <v>0</v>
          </cell>
          <cell r="J30">
            <v>0</v>
          </cell>
          <cell r="K30">
            <v>0</v>
          </cell>
          <cell r="L30">
            <v>-250000000</v>
          </cell>
        </row>
        <row r="31">
          <cell r="A31" t="str">
            <v>Non-Fair Value Option</v>
          </cell>
          <cell r="B31">
            <v>-183856215195.88</v>
          </cell>
          <cell r="C31">
            <v>0</v>
          </cell>
          <cell r="D31">
            <v>0</v>
          </cell>
          <cell r="E31">
            <v>0</v>
          </cell>
          <cell r="F31">
            <v>0</v>
          </cell>
          <cell r="G31">
            <v>0</v>
          </cell>
          <cell r="H31">
            <v>272300036.02999997</v>
          </cell>
          <cell r="I31">
            <v>27146.04</v>
          </cell>
          <cell r="J31">
            <v>272327182.06999999</v>
          </cell>
          <cell r="K31">
            <v>669624.30000000005</v>
          </cell>
          <cell r="L31">
            <v>-183583218389.51001</v>
          </cell>
        </row>
        <row r="32">
          <cell r="A32" t="str">
            <v>NA</v>
          </cell>
          <cell r="B32">
            <v>-183856215195.88</v>
          </cell>
          <cell r="C32">
            <v>0</v>
          </cell>
          <cell r="D32">
            <v>0</v>
          </cell>
          <cell r="E32">
            <v>0</v>
          </cell>
          <cell r="F32">
            <v>0</v>
          </cell>
          <cell r="G32">
            <v>0</v>
          </cell>
          <cell r="H32">
            <v>272300036.02999997</v>
          </cell>
          <cell r="I32">
            <v>27146.04</v>
          </cell>
          <cell r="J32">
            <v>272327182.06999999</v>
          </cell>
          <cell r="K32">
            <v>669624.30000000005</v>
          </cell>
          <cell r="L32">
            <v>-183583218389.51001</v>
          </cell>
        </row>
        <row r="33">
          <cell r="A33" t="str">
            <v>NA</v>
          </cell>
          <cell r="B33">
            <v>-183856215195.88</v>
          </cell>
          <cell r="C33">
            <v>0</v>
          </cell>
          <cell r="D33">
            <v>0</v>
          </cell>
          <cell r="E33">
            <v>0</v>
          </cell>
          <cell r="F33">
            <v>0</v>
          </cell>
          <cell r="G33">
            <v>0</v>
          </cell>
          <cell r="H33">
            <v>272300036.02999997</v>
          </cell>
          <cell r="I33">
            <v>27146.04</v>
          </cell>
          <cell r="J33">
            <v>272327182.06999999</v>
          </cell>
          <cell r="K33">
            <v>669624.30000000005</v>
          </cell>
          <cell r="L33">
            <v>-183583218389.51001</v>
          </cell>
        </row>
        <row r="34">
          <cell r="A34" t="str">
            <v>Benchmark Notes &amp; Bonds</v>
          </cell>
          <cell r="B34">
            <v>-85739666000</v>
          </cell>
          <cell r="C34">
            <v>0</v>
          </cell>
          <cell r="D34">
            <v>0</v>
          </cell>
          <cell r="E34">
            <v>0</v>
          </cell>
          <cell r="F34">
            <v>0</v>
          </cell>
          <cell r="G34">
            <v>0</v>
          </cell>
          <cell r="H34">
            <v>0</v>
          </cell>
          <cell r="I34">
            <v>0</v>
          </cell>
          <cell r="J34">
            <v>0</v>
          </cell>
          <cell r="K34">
            <v>0</v>
          </cell>
          <cell r="L34">
            <v>-85739666000</v>
          </cell>
        </row>
        <row r="35">
          <cell r="A35" t="str">
            <v>Benchmark Notes &amp; Bonds</v>
          </cell>
          <cell r="B35">
            <v>-85739666000</v>
          </cell>
          <cell r="C35">
            <v>0</v>
          </cell>
          <cell r="D35">
            <v>0</v>
          </cell>
          <cell r="E35">
            <v>0</v>
          </cell>
          <cell r="F35">
            <v>0</v>
          </cell>
          <cell r="G35">
            <v>0</v>
          </cell>
          <cell r="H35">
            <v>0</v>
          </cell>
          <cell r="I35">
            <v>0</v>
          </cell>
          <cell r="J35">
            <v>0</v>
          </cell>
          <cell r="K35">
            <v>0</v>
          </cell>
          <cell r="L35">
            <v>-85739666000</v>
          </cell>
        </row>
        <row r="36">
          <cell r="A36" t="str">
            <v>Callable Fixed Rate MTN</v>
          </cell>
          <cell r="B36">
            <v>-37213790000</v>
          </cell>
          <cell r="C36">
            <v>0</v>
          </cell>
          <cell r="D36">
            <v>0</v>
          </cell>
          <cell r="E36">
            <v>0</v>
          </cell>
          <cell r="F36">
            <v>0</v>
          </cell>
          <cell r="G36">
            <v>0</v>
          </cell>
          <cell r="H36">
            <v>0</v>
          </cell>
          <cell r="I36">
            <v>0</v>
          </cell>
          <cell r="J36">
            <v>0</v>
          </cell>
          <cell r="K36">
            <v>0</v>
          </cell>
          <cell r="L36">
            <v>-37213790000</v>
          </cell>
        </row>
        <row r="37">
          <cell r="A37" t="str">
            <v>Callable Fixed Rate MTN</v>
          </cell>
          <cell r="B37">
            <v>-37213790000</v>
          </cell>
          <cell r="C37">
            <v>0</v>
          </cell>
          <cell r="D37">
            <v>0</v>
          </cell>
          <cell r="E37">
            <v>0</v>
          </cell>
          <cell r="F37">
            <v>0</v>
          </cell>
          <cell r="G37">
            <v>0</v>
          </cell>
          <cell r="H37">
            <v>0</v>
          </cell>
          <cell r="I37">
            <v>0</v>
          </cell>
          <cell r="J37">
            <v>0</v>
          </cell>
          <cell r="K37">
            <v>0</v>
          </cell>
          <cell r="L37">
            <v>-37213790000</v>
          </cell>
        </row>
        <row r="38">
          <cell r="A38" t="str">
            <v>LT - CAS</v>
          </cell>
          <cell r="B38">
            <v>-9063084249.5799999</v>
          </cell>
          <cell r="C38">
            <v>0</v>
          </cell>
          <cell r="D38">
            <v>0</v>
          </cell>
          <cell r="E38">
            <v>0</v>
          </cell>
          <cell r="F38">
            <v>0</v>
          </cell>
          <cell r="G38">
            <v>0</v>
          </cell>
          <cell r="H38">
            <v>182300036.03</v>
          </cell>
          <cell r="I38">
            <v>27146.04</v>
          </cell>
          <cell r="J38">
            <v>182327182.06999999</v>
          </cell>
          <cell r="K38">
            <v>0</v>
          </cell>
          <cell r="L38">
            <v>-8880757067.5100002</v>
          </cell>
        </row>
        <row r="39">
          <cell r="A39" t="str">
            <v>LT - CAS</v>
          </cell>
          <cell r="B39">
            <v>-9063084249.5799999</v>
          </cell>
          <cell r="C39">
            <v>0</v>
          </cell>
          <cell r="D39">
            <v>0</v>
          </cell>
          <cell r="E39">
            <v>0</v>
          </cell>
          <cell r="F39">
            <v>0</v>
          </cell>
          <cell r="G39">
            <v>0</v>
          </cell>
          <cell r="H39">
            <v>182300036.03</v>
          </cell>
          <cell r="I39">
            <v>27146.04</v>
          </cell>
          <cell r="J39">
            <v>182327182.06999999</v>
          </cell>
          <cell r="K39">
            <v>0</v>
          </cell>
          <cell r="L39">
            <v>-8880757067.5100002</v>
          </cell>
        </row>
        <row r="40">
          <cell r="A40" t="str">
            <v>LT - FX Debt</v>
          </cell>
          <cell r="B40">
            <v>-333497702.30000001</v>
          </cell>
          <cell r="C40">
            <v>0</v>
          </cell>
          <cell r="D40">
            <v>0</v>
          </cell>
          <cell r="E40">
            <v>0</v>
          </cell>
          <cell r="F40">
            <v>0</v>
          </cell>
          <cell r="G40">
            <v>0</v>
          </cell>
          <cell r="H40">
            <v>0</v>
          </cell>
          <cell r="I40">
            <v>0</v>
          </cell>
          <cell r="J40">
            <v>0</v>
          </cell>
          <cell r="K40">
            <v>669624.30000000005</v>
          </cell>
          <cell r="L40">
            <v>-332828078</v>
          </cell>
        </row>
        <row r="41">
          <cell r="A41" t="str">
            <v>LT - FX Debt</v>
          </cell>
          <cell r="B41">
            <v>-333497702.30000001</v>
          </cell>
          <cell r="C41">
            <v>0</v>
          </cell>
          <cell r="D41">
            <v>0</v>
          </cell>
          <cell r="E41">
            <v>0</v>
          </cell>
          <cell r="F41">
            <v>0</v>
          </cell>
          <cell r="G41">
            <v>0</v>
          </cell>
          <cell r="H41">
            <v>0</v>
          </cell>
          <cell r="I41">
            <v>0</v>
          </cell>
          <cell r="J41">
            <v>0</v>
          </cell>
          <cell r="K41">
            <v>669624.30000000005</v>
          </cell>
          <cell r="L41">
            <v>-332828078</v>
          </cell>
        </row>
        <row r="42">
          <cell r="A42" t="str">
            <v>Non-Callable Fixed Rate MTN</v>
          </cell>
          <cell r="B42">
            <v>-8155177244</v>
          </cell>
          <cell r="C42">
            <v>0</v>
          </cell>
          <cell r="D42">
            <v>0</v>
          </cell>
          <cell r="E42">
            <v>0</v>
          </cell>
          <cell r="F42">
            <v>0</v>
          </cell>
          <cell r="G42">
            <v>0</v>
          </cell>
          <cell r="H42">
            <v>90000000</v>
          </cell>
          <cell r="I42">
            <v>0</v>
          </cell>
          <cell r="J42">
            <v>90000000</v>
          </cell>
          <cell r="K42">
            <v>0</v>
          </cell>
          <cell r="L42">
            <v>-8065177244</v>
          </cell>
        </row>
        <row r="43">
          <cell r="A43" t="str">
            <v>Non-Callable Fixed Rate MTN</v>
          </cell>
          <cell r="B43">
            <v>-8155177244</v>
          </cell>
          <cell r="C43">
            <v>0</v>
          </cell>
          <cell r="D43">
            <v>0</v>
          </cell>
          <cell r="E43">
            <v>0</v>
          </cell>
          <cell r="F43">
            <v>0</v>
          </cell>
          <cell r="G43">
            <v>0</v>
          </cell>
          <cell r="H43">
            <v>90000000</v>
          </cell>
          <cell r="I43">
            <v>0</v>
          </cell>
          <cell r="J43">
            <v>90000000</v>
          </cell>
          <cell r="K43">
            <v>0</v>
          </cell>
          <cell r="L43">
            <v>-8065177244</v>
          </cell>
        </row>
        <row r="44">
          <cell r="A44" t="str">
            <v>Non-Callable Floating Rate MTN</v>
          </cell>
          <cell r="B44">
            <v>-43351000000</v>
          </cell>
          <cell r="C44">
            <v>0</v>
          </cell>
          <cell r="D44">
            <v>0</v>
          </cell>
          <cell r="E44">
            <v>0</v>
          </cell>
          <cell r="F44">
            <v>0</v>
          </cell>
          <cell r="G44">
            <v>0</v>
          </cell>
          <cell r="H44">
            <v>0</v>
          </cell>
          <cell r="I44">
            <v>0</v>
          </cell>
          <cell r="J44">
            <v>0</v>
          </cell>
          <cell r="K44">
            <v>0</v>
          </cell>
          <cell r="L44">
            <v>-43351000000</v>
          </cell>
        </row>
        <row r="45">
          <cell r="A45" t="str">
            <v>Non-Callable Floating Rate MTN</v>
          </cell>
          <cell r="B45">
            <v>-43351000000</v>
          </cell>
          <cell r="C45">
            <v>0</v>
          </cell>
          <cell r="D45">
            <v>0</v>
          </cell>
          <cell r="E45">
            <v>0</v>
          </cell>
          <cell r="F45">
            <v>0</v>
          </cell>
          <cell r="G45">
            <v>0</v>
          </cell>
          <cell r="H45">
            <v>0</v>
          </cell>
          <cell r="I45">
            <v>0</v>
          </cell>
          <cell r="J45">
            <v>0</v>
          </cell>
          <cell r="K45">
            <v>0</v>
          </cell>
          <cell r="L45">
            <v>-43351000000</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GL Tie out"/>
      <sheetName val="Summary"/>
      <sheetName val="CUSIP Details"/>
    </sheetNames>
    <sheetDataSet>
      <sheetData sheetId="0"/>
      <sheetData sheetId="1"/>
      <sheetData sheetId="2">
        <row r="5">
          <cell r="A5" t="str">
            <v>Enter Accounting Framework:</v>
          </cell>
          <cell r="B5" t="str">
            <v>GAAP Accounting</v>
          </cell>
        </row>
        <row r="7">
          <cell r="A7" t="str">
            <v>Date and Time: 04/14/2022 06:34 PM</v>
          </cell>
        </row>
        <row r="8">
          <cell r="A8" t="str">
            <v>Report Environment: PROD</v>
          </cell>
        </row>
        <row r="9">
          <cell r="A9" t="str">
            <v>Report Description: This report shows Debt redemption value (UPB) activity, walking forward from beginning balance to ending balance. All Debt is represented in USD Equivalent only</v>
          </cell>
        </row>
        <row r="10">
          <cell r="A10" t="str">
            <v>Term Type</v>
          </cell>
          <cell r="B10" t="str">
            <v>Beginning Balance</v>
          </cell>
          <cell r="C10" t="str">
            <v>New Issues (-)</v>
          </cell>
          <cell r="D10" t="str">
            <v>Re-opens (-)</v>
          </cell>
          <cell r="E10" t="str">
            <v>Total Issuances (-)</v>
          </cell>
          <cell r="F10" t="str">
            <v>Repurchases (+)</v>
          </cell>
          <cell r="G10" t="str">
            <v>Calls / Puts (+)</v>
          </cell>
          <cell r="H10" t="str">
            <v>Scheduled Paydown / Maturites (+)</v>
          </cell>
          <cell r="I10" t="str">
            <v>Non-Cash Principal Adjustment</v>
          </cell>
          <cell r="J10" t="str">
            <v>Total Redemptions (+)</v>
          </cell>
          <cell r="K10" t="str">
            <v>FX Translation Gain / (Loss)</v>
          </cell>
          <cell r="L10" t="str">
            <v>Report Calculated Ending Balance</v>
          </cell>
        </row>
        <row r="11">
          <cell r="A11" t="str">
            <v>Total Fed Funds Purchased &amp; Repo</v>
          </cell>
          <cell r="B11">
            <v>-401500000</v>
          </cell>
          <cell r="C11">
            <v>-1010000000</v>
          </cell>
          <cell r="D11">
            <v>0</v>
          </cell>
          <cell r="E11">
            <v>-1010000000</v>
          </cell>
          <cell r="F11">
            <v>0</v>
          </cell>
          <cell r="G11">
            <v>0</v>
          </cell>
          <cell r="H11">
            <v>1411500000</v>
          </cell>
          <cell r="I11">
            <v>0</v>
          </cell>
          <cell r="J11">
            <v>1411500000</v>
          </cell>
          <cell r="K11">
            <v>0</v>
          </cell>
          <cell r="L11">
            <v>0</v>
          </cell>
        </row>
        <row r="12">
          <cell r="A12" t="str">
            <v>Non-Fair Value Option</v>
          </cell>
          <cell r="B12">
            <v>-401500000</v>
          </cell>
          <cell r="C12">
            <v>-1010000000</v>
          </cell>
          <cell r="D12">
            <v>0</v>
          </cell>
          <cell r="E12">
            <v>-1010000000</v>
          </cell>
          <cell r="F12">
            <v>0</v>
          </cell>
          <cell r="G12">
            <v>0</v>
          </cell>
          <cell r="H12">
            <v>1411500000</v>
          </cell>
          <cell r="I12">
            <v>0</v>
          </cell>
          <cell r="J12">
            <v>1411500000</v>
          </cell>
          <cell r="K12">
            <v>0</v>
          </cell>
          <cell r="L12">
            <v>0</v>
          </cell>
        </row>
        <row r="13">
          <cell r="A13" t="str">
            <v>NA</v>
          </cell>
          <cell r="B13">
            <v>-401500000</v>
          </cell>
          <cell r="C13">
            <v>-1010000000</v>
          </cell>
          <cell r="D13">
            <v>0</v>
          </cell>
          <cell r="E13">
            <v>-1010000000</v>
          </cell>
          <cell r="F13">
            <v>0</v>
          </cell>
          <cell r="G13">
            <v>0</v>
          </cell>
          <cell r="H13">
            <v>1411500000</v>
          </cell>
          <cell r="I13">
            <v>0</v>
          </cell>
          <cell r="J13">
            <v>1411500000</v>
          </cell>
          <cell r="K13">
            <v>0</v>
          </cell>
          <cell r="L13">
            <v>0</v>
          </cell>
        </row>
        <row r="14">
          <cell r="A14" t="str">
            <v>NA</v>
          </cell>
          <cell r="B14">
            <v>-401500000</v>
          </cell>
          <cell r="C14">
            <v>-1010000000</v>
          </cell>
          <cell r="D14">
            <v>0</v>
          </cell>
          <cell r="E14">
            <v>-1010000000</v>
          </cell>
          <cell r="F14">
            <v>0</v>
          </cell>
          <cell r="G14">
            <v>0</v>
          </cell>
          <cell r="H14">
            <v>1411500000</v>
          </cell>
          <cell r="I14">
            <v>0</v>
          </cell>
          <cell r="J14">
            <v>1411500000</v>
          </cell>
          <cell r="K14">
            <v>0</v>
          </cell>
          <cell r="L14">
            <v>0</v>
          </cell>
        </row>
        <row r="15">
          <cell r="A15" t="str">
            <v>DVP Repo</v>
          </cell>
          <cell r="B15">
            <v>-401500000</v>
          </cell>
          <cell r="C15">
            <v>-1010000000</v>
          </cell>
          <cell r="D15">
            <v>0</v>
          </cell>
          <cell r="E15">
            <v>-1010000000</v>
          </cell>
          <cell r="F15">
            <v>0</v>
          </cell>
          <cell r="G15">
            <v>0</v>
          </cell>
          <cell r="H15">
            <v>1411500000</v>
          </cell>
          <cell r="I15">
            <v>0</v>
          </cell>
          <cell r="J15">
            <v>1411500000</v>
          </cell>
          <cell r="K15">
            <v>0</v>
          </cell>
          <cell r="L15">
            <v>0</v>
          </cell>
        </row>
        <row r="16">
          <cell r="A16" t="str">
            <v>DVP Repo</v>
          </cell>
          <cell r="B16">
            <v>-401500000</v>
          </cell>
          <cell r="C16">
            <v>-1010000000</v>
          </cell>
          <cell r="D16">
            <v>0</v>
          </cell>
          <cell r="E16">
            <v>-1010000000</v>
          </cell>
          <cell r="F16">
            <v>0</v>
          </cell>
          <cell r="G16">
            <v>0</v>
          </cell>
          <cell r="H16">
            <v>1411500000</v>
          </cell>
          <cell r="I16">
            <v>0</v>
          </cell>
          <cell r="J16">
            <v>1411500000</v>
          </cell>
          <cell r="K16">
            <v>0</v>
          </cell>
          <cell r="L16">
            <v>0</v>
          </cell>
        </row>
        <row r="17">
          <cell r="A17" t="str">
            <v>Total Short Term Funding Term</v>
          </cell>
          <cell r="B17">
            <v>-2795000000</v>
          </cell>
          <cell r="C17">
            <v>-15500000000</v>
          </cell>
          <cell r="D17">
            <v>0</v>
          </cell>
          <cell r="E17">
            <v>-15500000000</v>
          </cell>
          <cell r="F17">
            <v>0</v>
          </cell>
          <cell r="G17">
            <v>0</v>
          </cell>
          <cell r="H17">
            <v>14250000000</v>
          </cell>
          <cell r="I17">
            <v>0</v>
          </cell>
          <cell r="J17">
            <v>14250000000</v>
          </cell>
          <cell r="K17">
            <v>0</v>
          </cell>
          <cell r="L17">
            <v>-4045000000</v>
          </cell>
        </row>
        <row r="18">
          <cell r="A18" t="str">
            <v>Non-Fair Value Option</v>
          </cell>
          <cell r="B18">
            <v>-2795000000</v>
          </cell>
          <cell r="C18">
            <v>-15500000000</v>
          </cell>
          <cell r="D18">
            <v>0</v>
          </cell>
          <cell r="E18">
            <v>-15500000000</v>
          </cell>
          <cell r="F18">
            <v>0</v>
          </cell>
          <cell r="G18">
            <v>0</v>
          </cell>
          <cell r="H18">
            <v>14250000000</v>
          </cell>
          <cell r="I18">
            <v>0</v>
          </cell>
          <cell r="J18">
            <v>14250000000</v>
          </cell>
          <cell r="K18">
            <v>0</v>
          </cell>
          <cell r="L18">
            <v>-4045000000</v>
          </cell>
        </row>
        <row r="19">
          <cell r="A19" t="str">
            <v>NA</v>
          </cell>
          <cell r="B19">
            <v>-2795000000</v>
          </cell>
          <cell r="C19">
            <v>-15500000000</v>
          </cell>
          <cell r="D19">
            <v>0</v>
          </cell>
          <cell r="E19">
            <v>-15500000000</v>
          </cell>
          <cell r="F19">
            <v>0</v>
          </cell>
          <cell r="G19">
            <v>0</v>
          </cell>
          <cell r="H19">
            <v>14250000000</v>
          </cell>
          <cell r="I19">
            <v>0</v>
          </cell>
          <cell r="J19">
            <v>14250000000</v>
          </cell>
          <cell r="K19">
            <v>0</v>
          </cell>
          <cell r="L19">
            <v>-4045000000</v>
          </cell>
        </row>
        <row r="20">
          <cell r="A20" t="str">
            <v>NA</v>
          </cell>
          <cell r="B20">
            <v>-2795000000</v>
          </cell>
          <cell r="C20">
            <v>-15500000000</v>
          </cell>
          <cell r="D20">
            <v>0</v>
          </cell>
          <cell r="E20">
            <v>-15500000000</v>
          </cell>
          <cell r="F20">
            <v>0</v>
          </cell>
          <cell r="G20">
            <v>0</v>
          </cell>
          <cell r="H20">
            <v>14250000000</v>
          </cell>
          <cell r="I20">
            <v>0</v>
          </cell>
          <cell r="J20">
            <v>14250000000</v>
          </cell>
          <cell r="K20">
            <v>0</v>
          </cell>
          <cell r="L20">
            <v>-4045000000</v>
          </cell>
        </row>
        <row r="21">
          <cell r="A21" t="str">
            <v>ST-Debt</v>
          </cell>
          <cell r="B21">
            <v>-2795000000</v>
          </cell>
          <cell r="C21">
            <v>-15500000000</v>
          </cell>
          <cell r="D21">
            <v>0</v>
          </cell>
          <cell r="E21">
            <v>-15500000000</v>
          </cell>
          <cell r="F21">
            <v>0</v>
          </cell>
          <cell r="G21">
            <v>0</v>
          </cell>
          <cell r="H21">
            <v>14250000000</v>
          </cell>
          <cell r="I21">
            <v>0</v>
          </cell>
          <cell r="J21">
            <v>14250000000</v>
          </cell>
          <cell r="K21">
            <v>0</v>
          </cell>
          <cell r="L21">
            <v>-4045000000</v>
          </cell>
        </row>
        <row r="22">
          <cell r="A22" t="str">
            <v>ST-Debt</v>
          </cell>
          <cell r="B22">
            <v>-2795000000</v>
          </cell>
          <cell r="C22">
            <v>-15500000000</v>
          </cell>
          <cell r="D22">
            <v>0</v>
          </cell>
          <cell r="E22">
            <v>-15500000000</v>
          </cell>
          <cell r="F22">
            <v>0</v>
          </cell>
          <cell r="G22">
            <v>0</v>
          </cell>
          <cell r="H22">
            <v>14250000000</v>
          </cell>
          <cell r="I22">
            <v>0</v>
          </cell>
          <cell r="J22">
            <v>14250000000</v>
          </cell>
          <cell r="K22">
            <v>0</v>
          </cell>
          <cell r="L22">
            <v>-4045000000</v>
          </cell>
        </row>
        <row r="23">
          <cell r="A23" t="str">
            <v>Total Long Term Funding Debt</v>
          </cell>
          <cell r="B23">
            <v>-185645037535.87</v>
          </cell>
          <cell r="C23">
            <v>0</v>
          </cell>
          <cell r="D23">
            <v>0</v>
          </cell>
          <cell r="E23">
            <v>0</v>
          </cell>
          <cell r="F23">
            <v>0</v>
          </cell>
          <cell r="G23">
            <v>0</v>
          </cell>
          <cell r="H23">
            <v>6331760557.6000004</v>
          </cell>
          <cell r="I23">
            <v>80935.37</v>
          </cell>
          <cell r="J23">
            <v>6331841492.9700003</v>
          </cell>
          <cell r="K23">
            <v>6993853.7999999998</v>
          </cell>
          <cell r="L23">
            <v>-179306202189.10001</v>
          </cell>
        </row>
        <row r="24">
          <cell r="A24" t="str">
            <v>Fair Value Option</v>
          </cell>
          <cell r="B24">
            <v>-2061819146.3599999</v>
          </cell>
          <cell r="C24">
            <v>0</v>
          </cell>
          <cell r="D24">
            <v>0</v>
          </cell>
          <cell r="E24">
            <v>0</v>
          </cell>
          <cell r="F24">
            <v>0</v>
          </cell>
          <cell r="G24">
            <v>0</v>
          </cell>
          <cell r="H24">
            <v>73903981.75</v>
          </cell>
          <cell r="I24">
            <v>0</v>
          </cell>
          <cell r="J24">
            <v>73903981.75</v>
          </cell>
          <cell r="K24">
            <v>0</v>
          </cell>
          <cell r="L24">
            <v>-1987915164.6099999</v>
          </cell>
        </row>
        <row r="25">
          <cell r="A25" t="str">
            <v>NA</v>
          </cell>
          <cell r="B25">
            <v>-2061819146.3599999</v>
          </cell>
          <cell r="C25">
            <v>0</v>
          </cell>
          <cell r="D25">
            <v>0</v>
          </cell>
          <cell r="E25">
            <v>0</v>
          </cell>
          <cell r="F25">
            <v>0</v>
          </cell>
          <cell r="G25">
            <v>0</v>
          </cell>
          <cell r="H25">
            <v>73903981.75</v>
          </cell>
          <cell r="I25">
            <v>0</v>
          </cell>
          <cell r="J25">
            <v>73903981.75</v>
          </cell>
          <cell r="K25">
            <v>0</v>
          </cell>
          <cell r="L25">
            <v>-1987915164.6099999</v>
          </cell>
        </row>
        <row r="26">
          <cell r="A26" t="str">
            <v>NA</v>
          </cell>
          <cell r="B26">
            <v>-2061819146.3599999</v>
          </cell>
          <cell r="C26">
            <v>0</v>
          </cell>
          <cell r="D26">
            <v>0</v>
          </cell>
          <cell r="E26">
            <v>0</v>
          </cell>
          <cell r="F26">
            <v>0</v>
          </cell>
          <cell r="G26">
            <v>0</v>
          </cell>
          <cell r="H26">
            <v>73903981.75</v>
          </cell>
          <cell r="I26">
            <v>0</v>
          </cell>
          <cell r="J26">
            <v>73903981.75</v>
          </cell>
          <cell r="K26">
            <v>0</v>
          </cell>
          <cell r="L26">
            <v>-1987915164.6099999</v>
          </cell>
        </row>
        <row r="27">
          <cell r="A27" t="str">
            <v>LT - CAS</v>
          </cell>
          <cell r="B27">
            <v>-1811819146.3599999</v>
          </cell>
          <cell r="C27">
            <v>0</v>
          </cell>
          <cell r="D27">
            <v>0</v>
          </cell>
          <cell r="E27">
            <v>0</v>
          </cell>
          <cell r="F27">
            <v>0</v>
          </cell>
          <cell r="G27">
            <v>0</v>
          </cell>
          <cell r="H27">
            <v>73903981.75</v>
          </cell>
          <cell r="I27">
            <v>0</v>
          </cell>
          <cell r="J27">
            <v>73903981.75</v>
          </cell>
          <cell r="K27">
            <v>0</v>
          </cell>
          <cell r="L27">
            <v>-1737915164.6099999</v>
          </cell>
        </row>
        <row r="28">
          <cell r="A28" t="str">
            <v>LT - CAS</v>
          </cell>
          <cell r="B28">
            <v>-1811819146.3599999</v>
          </cell>
          <cell r="C28">
            <v>0</v>
          </cell>
          <cell r="D28">
            <v>0</v>
          </cell>
          <cell r="E28">
            <v>0</v>
          </cell>
          <cell r="F28">
            <v>0</v>
          </cell>
          <cell r="G28">
            <v>0</v>
          </cell>
          <cell r="H28">
            <v>73903981.75</v>
          </cell>
          <cell r="I28">
            <v>0</v>
          </cell>
          <cell r="J28">
            <v>73903981.75</v>
          </cell>
          <cell r="K28">
            <v>0</v>
          </cell>
          <cell r="L28">
            <v>-1737915164.6099999</v>
          </cell>
        </row>
        <row r="29">
          <cell r="A29" t="str">
            <v>Non-Callable Floating Rate MTN</v>
          </cell>
          <cell r="B29">
            <v>-250000000</v>
          </cell>
          <cell r="C29">
            <v>0</v>
          </cell>
          <cell r="D29">
            <v>0</v>
          </cell>
          <cell r="E29">
            <v>0</v>
          </cell>
          <cell r="F29">
            <v>0</v>
          </cell>
          <cell r="G29">
            <v>0</v>
          </cell>
          <cell r="H29">
            <v>0</v>
          </cell>
          <cell r="I29">
            <v>0</v>
          </cell>
          <cell r="J29">
            <v>0</v>
          </cell>
          <cell r="K29">
            <v>0</v>
          </cell>
          <cell r="L29">
            <v>-250000000</v>
          </cell>
        </row>
        <row r="30">
          <cell r="A30" t="str">
            <v>Non-Callable Floating Rate MTN</v>
          </cell>
          <cell r="B30">
            <v>-250000000</v>
          </cell>
          <cell r="C30">
            <v>0</v>
          </cell>
          <cell r="D30">
            <v>0</v>
          </cell>
          <cell r="E30">
            <v>0</v>
          </cell>
          <cell r="F30">
            <v>0</v>
          </cell>
          <cell r="G30">
            <v>0</v>
          </cell>
          <cell r="H30">
            <v>0</v>
          </cell>
          <cell r="I30">
            <v>0</v>
          </cell>
          <cell r="J30">
            <v>0</v>
          </cell>
          <cell r="K30">
            <v>0</v>
          </cell>
          <cell r="L30">
            <v>-250000000</v>
          </cell>
        </row>
        <row r="31">
          <cell r="A31" t="str">
            <v>Non-Fair Value Option</v>
          </cell>
          <cell r="B31">
            <v>-183583218389.51001</v>
          </cell>
          <cell r="C31">
            <v>0</v>
          </cell>
          <cell r="D31">
            <v>0</v>
          </cell>
          <cell r="E31">
            <v>0</v>
          </cell>
          <cell r="F31">
            <v>0</v>
          </cell>
          <cell r="G31">
            <v>0</v>
          </cell>
          <cell r="H31">
            <v>6257856575.8500004</v>
          </cell>
          <cell r="I31">
            <v>80935.37</v>
          </cell>
          <cell r="J31">
            <v>6257937511.2200003</v>
          </cell>
          <cell r="K31">
            <v>6993853.7999999998</v>
          </cell>
          <cell r="L31">
            <v>-177318287024.48999</v>
          </cell>
        </row>
        <row r="32">
          <cell r="A32" t="str">
            <v>NA</v>
          </cell>
          <cell r="B32">
            <v>-183583218389.51001</v>
          </cell>
          <cell r="C32">
            <v>0</v>
          </cell>
          <cell r="D32">
            <v>0</v>
          </cell>
          <cell r="E32">
            <v>0</v>
          </cell>
          <cell r="F32">
            <v>0</v>
          </cell>
          <cell r="G32">
            <v>0</v>
          </cell>
          <cell r="H32">
            <v>6257856575.8500004</v>
          </cell>
          <cell r="I32">
            <v>80935.37</v>
          </cell>
          <cell r="J32">
            <v>6257937511.2200003</v>
          </cell>
          <cell r="K32">
            <v>6993853.7999999998</v>
          </cell>
          <cell r="L32">
            <v>-177318287024.48999</v>
          </cell>
        </row>
        <row r="33">
          <cell r="A33" t="str">
            <v>NA</v>
          </cell>
          <cell r="B33">
            <v>-183583218389.51001</v>
          </cell>
          <cell r="C33">
            <v>0</v>
          </cell>
          <cell r="D33">
            <v>0</v>
          </cell>
          <cell r="E33">
            <v>0</v>
          </cell>
          <cell r="F33">
            <v>0</v>
          </cell>
          <cell r="G33">
            <v>0</v>
          </cell>
          <cell r="H33">
            <v>6257856575.8500004</v>
          </cell>
          <cell r="I33">
            <v>80935.37</v>
          </cell>
          <cell r="J33">
            <v>6257937511.2200003</v>
          </cell>
          <cell r="K33">
            <v>6993853.7999999998</v>
          </cell>
          <cell r="L33">
            <v>-177318287024.48999</v>
          </cell>
        </row>
        <row r="34">
          <cell r="A34" t="str">
            <v>Benchmark Notes &amp; Bonds</v>
          </cell>
          <cell r="B34">
            <v>-85739666000</v>
          </cell>
          <cell r="C34">
            <v>0</v>
          </cell>
          <cell r="D34">
            <v>0</v>
          </cell>
          <cell r="E34">
            <v>0</v>
          </cell>
          <cell r="F34">
            <v>0</v>
          </cell>
          <cell r="G34">
            <v>0</v>
          </cell>
          <cell r="H34">
            <v>0</v>
          </cell>
          <cell r="I34">
            <v>0</v>
          </cell>
          <cell r="J34">
            <v>0</v>
          </cell>
          <cell r="K34">
            <v>0</v>
          </cell>
          <cell r="L34">
            <v>-85739666000</v>
          </cell>
        </row>
        <row r="35">
          <cell r="A35" t="str">
            <v>Benchmark Notes &amp; Bonds</v>
          </cell>
          <cell r="B35">
            <v>-85739666000</v>
          </cell>
          <cell r="C35">
            <v>0</v>
          </cell>
          <cell r="D35">
            <v>0</v>
          </cell>
          <cell r="E35">
            <v>0</v>
          </cell>
          <cell r="F35">
            <v>0</v>
          </cell>
          <cell r="G35">
            <v>0</v>
          </cell>
          <cell r="H35">
            <v>0</v>
          </cell>
          <cell r="I35">
            <v>0</v>
          </cell>
          <cell r="J35">
            <v>0</v>
          </cell>
          <cell r="K35">
            <v>0</v>
          </cell>
          <cell r="L35">
            <v>-85739666000</v>
          </cell>
        </row>
        <row r="36">
          <cell r="A36" t="str">
            <v>Callable Fixed Rate MTN</v>
          </cell>
          <cell r="B36">
            <v>-37153790000</v>
          </cell>
          <cell r="C36">
            <v>0</v>
          </cell>
          <cell r="D36">
            <v>0</v>
          </cell>
          <cell r="E36">
            <v>0</v>
          </cell>
          <cell r="F36">
            <v>0</v>
          </cell>
          <cell r="G36">
            <v>0</v>
          </cell>
          <cell r="H36">
            <v>0</v>
          </cell>
          <cell r="I36">
            <v>0</v>
          </cell>
          <cell r="J36">
            <v>0</v>
          </cell>
          <cell r="K36">
            <v>0</v>
          </cell>
          <cell r="L36">
            <v>-37153790000</v>
          </cell>
        </row>
        <row r="37">
          <cell r="A37" t="str">
            <v>Callable Fixed Rate MTN</v>
          </cell>
          <cell r="B37">
            <v>-37153790000</v>
          </cell>
          <cell r="C37">
            <v>0</v>
          </cell>
          <cell r="D37">
            <v>0</v>
          </cell>
          <cell r="E37">
            <v>0</v>
          </cell>
          <cell r="F37">
            <v>0</v>
          </cell>
          <cell r="G37">
            <v>0</v>
          </cell>
          <cell r="H37">
            <v>0</v>
          </cell>
          <cell r="I37">
            <v>0</v>
          </cell>
          <cell r="J37">
            <v>0</v>
          </cell>
          <cell r="K37">
            <v>0</v>
          </cell>
          <cell r="L37">
            <v>-37153790000</v>
          </cell>
        </row>
        <row r="38">
          <cell r="A38" t="str">
            <v>LT - CAS</v>
          </cell>
          <cell r="B38">
            <v>-8880757067.5100002</v>
          </cell>
          <cell r="C38">
            <v>0</v>
          </cell>
          <cell r="D38">
            <v>0</v>
          </cell>
          <cell r="E38">
            <v>0</v>
          </cell>
          <cell r="F38">
            <v>0</v>
          </cell>
          <cell r="G38">
            <v>0</v>
          </cell>
          <cell r="H38">
            <v>222856575.84999999</v>
          </cell>
          <cell r="I38">
            <v>80935.37</v>
          </cell>
          <cell r="J38">
            <v>222937511.22</v>
          </cell>
          <cell r="K38">
            <v>0</v>
          </cell>
          <cell r="L38">
            <v>-8657819556.2900009</v>
          </cell>
        </row>
        <row r="39">
          <cell r="A39" t="str">
            <v>LT - CAS</v>
          </cell>
          <cell r="B39">
            <v>-8880757067.5100002</v>
          </cell>
          <cell r="C39">
            <v>0</v>
          </cell>
          <cell r="D39">
            <v>0</v>
          </cell>
          <cell r="E39">
            <v>0</v>
          </cell>
          <cell r="F39">
            <v>0</v>
          </cell>
          <cell r="G39">
            <v>0</v>
          </cell>
          <cell r="H39">
            <v>222856575.84999999</v>
          </cell>
          <cell r="I39">
            <v>80935.37</v>
          </cell>
          <cell r="J39">
            <v>222937511.22</v>
          </cell>
          <cell r="K39">
            <v>0</v>
          </cell>
          <cell r="L39">
            <v>-8657819556.2900009</v>
          </cell>
        </row>
        <row r="40">
          <cell r="A40" t="str">
            <v>LT - FX Debt</v>
          </cell>
          <cell r="B40">
            <v>-332828078</v>
          </cell>
          <cell r="C40">
            <v>0</v>
          </cell>
          <cell r="D40">
            <v>0</v>
          </cell>
          <cell r="E40">
            <v>0</v>
          </cell>
          <cell r="F40">
            <v>0</v>
          </cell>
          <cell r="G40">
            <v>0</v>
          </cell>
          <cell r="H40">
            <v>0</v>
          </cell>
          <cell r="I40">
            <v>0</v>
          </cell>
          <cell r="J40">
            <v>0</v>
          </cell>
          <cell r="K40">
            <v>6993853.7999999998</v>
          </cell>
          <cell r="L40">
            <v>-325834224.19999999</v>
          </cell>
        </row>
        <row r="41">
          <cell r="A41" t="str">
            <v>LT - FX Debt</v>
          </cell>
          <cell r="B41">
            <v>-332828078</v>
          </cell>
          <cell r="C41">
            <v>0</v>
          </cell>
          <cell r="D41">
            <v>0</v>
          </cell>
          <cell r="E41">
            <v>0</v>
          </cell>
          <cell r="F41">
            <v>0</v>
          </cell>
          <cell r="G41">
            <v>0</v>
          </cell>
          <cell r="H41">
            <v>0</v>
          </cell>
          <cell r="I41">
            <v>0</v>
          </cell>
          <cell r="J41">
            <v>0</v>
          </cell>
          <cell r="K41">
            <v>6993853.7999999998</v>
          </cell>
          <cell r="L41">
            <v>-325834224.19999999</v>
          </cell>
        </row>
        <row r="42">
          <cell r="A42" t="str">
            <v>Non-Callable Fixed Rate MTN</v>
          </cell>
          <cell r="B42">
            <v>-8125177244</v>
          </cell>
          <cell r="C42">
            <v>0</v>
          </cell>
          <cell r="D42">
            <v>0</v>
          </cell>
          <cell r="E42">
            <v>0</v>
          </cell>
          <cell r="F42">
            <v>0</v>
          </cell>
          <cell r="G42">
            <v>0</v>
          </cell>
          <cell r="H42">
            <v>95000000</v>
          </cell>
          <cell r="I42">
            <v>0</v>
          </cell>
          <cell r="J42">
            <v>95000000</v>
          </cell>
          <cell r="K42">
            <v>0</v>
          </cell>
          <cell r="L42">
            <v>-8030177244</v>
          </cell>
        </row>
        <row r="43">
          <cell r="A43" t="str">
            <v>Non-Callable Fixed Rate MTN</v>
          </cell>
          <cell r="B43">
            <v>-8125177244</v>
          </cell>
          <cell r="C43">
            <v>0</v>
          </cell>
          <cell r="D43">
            <v>0</v>
          </cell>
          <cell r="E43">
            <v>0</v>
          </cell>
          <cell r="F43">
            <v>0</v>
          </cell>
          <cell r="G43">
            <v>0</v>
          </cell>
          <cell r="H43">
            <v>95000000</v>
          </cell>
          <cell r="I43">
            <v>0</v>
          </cell>
          <cell r="J43">
            <v>95000000</v>
          </cell>
          <cell r="K43">
            <v>0</v>
          </cell>
          <cell r="L43">
            <v>-8030177244</v>
          </cell>
        </row>
        <row r="44">
          <cell r="A44" t="str">
            <v>Non-Callable Floating Rate MTN</v>
          </cell>
          <cell r="B44">
            <v>-43351000000</v>
          </cell>
          <cell r="C44">
            <v>0</v>
          </cell>
          <cell r="D44">
            <v>0</v>
          </cell>
          <cell r="E44">
            <v>0</v>
          </cell>
          <cell r="F44">
            <v>0</v>
          </cell>
          <cell r="G44">
            <v>0</v>
          </cell>
          <cell r="H44">
            <v>5940000000</v>
          </cell>
          <cell r="I44">
            <v>0</v>
          </cell>
          <cell r="J44">
            <v>5940000000</v>
          </cell>
          <cell r="K44">
            <v>0</v>
          </cell>
          <cell r="L44">
            <v>-37411000000</v>
          </cell>
        </row>
        <row r="45">
          <cell r="A45" t="str">
            <v>Non-Callable Floating Rate MTN</v>
          </cell>
          <cell r="B45">
            <v>-43351000000</v>
          </cell>
          <cell r="C45">
            <v>0</v>
          </cell>
          <cell r="D45">
            <v>0</v>
          </cell>
          <cell r="E45">
            <v>0</v>
          </cell>
          <cell r="F45">
            <v>0</v>
          </cell>
          <cell r="G45">
            <v>0</v>
          </cell>
          <cell r="H45">
            <v>5940000000</v>
          </cell>
          <cell r="I45">
            <v>0</v>
          </cell>
          <cell r="J45">
            <v>5940000000</v>
          </cell>
          <cell r="K45">
            <v>0</v>
          </cell>
          <cell r="L45">
            <v>-37411000000</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GL Tie out"/>
      <sheetName val=" Funding Summary"/>
      <sheetName val="Summary"/>
      <sheetName val="CUSIP Details"/>
    </sheetNames>
    <sheetDataSet>
      <sheetData sheetId="0"/>
      <sheetData sheetId="1"/>
      <sheetData sheetId="2"/>
      <sheetData sheetId="3">
        <row r="5">
          <cell r="A5" t="str">
            <v>Enter Accounting Framework:</v>
          </cell>
          <cell r="B5" t="str">
            <v>GAAP Accounting</v>
          </cell>
        </row>
        <row r="7">
          <cell r="A7" t="str">
            <v>Date and Time: 05/05/2022 09:51 PM</v>
          </cell>
        </row>
        <row r="8">
          <cell r="A8" t="str">
            <v>Report Environment: PROD</v>
          </cell>
        </row>
        <row r="9">
          <cell r="A9" t="str">
            <v>Report Description: This report shows Debt redemption value (UPB) activity, walking forward from beginning balance to ending balance. All Debt is represented in USD Equivalent only</v>
          </cell>
        </row>
        <row r="10">
          <cell r="A10" t="str">
            <v>Term Type</v>
          </cell>
          <cell r="B10" t="str">
            <v>Beginning Balance</v>
          </cell>
          <cell r="C10" t="str">
            <v>New Issues (-)</v>
          </cell>
          <cell r="D10" t="str">
            <v>Re-opens (-)</v>
          </cell>
          <cell r="E10" t="str">
            <v>Total Issuances (-)</v>
          </cell>
          <cell r="F10" t="str">
            <v>Repurchases (+)</v>
          </cell>
          <cell r="G10" t="str">
            <v>Calls / Puts (+)</v>
          </cell>
          <cell r="H10" t="str">
            <v>Scheduled Paydown / Maturites (+)</v>
          </cell>
          <cell r="I10" t="str">
            <v>Non-Cash Principal Adjustment</v>
          </cell>
          <cell r="J10" t="str">
            <v>Total Redemptions (+)</v>
          </cell>
          <cell r="K10" t="str">
            <v>FX Translation Gain / (Loss)</v>
          </cell>
          <cell r="L10" t="str">
            <v>Report Calculated Ending Balance</v>
          </cell>
        </row>
        <row r="11">
          <cell r="A11" t="str">
            <v>Total Fed Funds Purchased &amp; Repo</v>
          </cell>
          <cell r="B11">
            <v>0</v>
          </cell>
          <cell r="C11">
            <v>-1032731250</v>
          </cell>
          <cell r="D11">
            <v>0</v>
          </cell>
          <cell r="E11">
            <v>-1032731250</v>
          </cell>
          <cell r="F11">
            <v>0</v>
          </cell>
          <cell r="G11">
            <v>0</v>
          </cell>
          <cell r="H11">
            <v>353700000</v>
          </cell>
          <cell r="I11">
            <v>0</v>
          </cell>
          <cell r="J11">
            <v>353700000</v>
          </cell>
          <cell r="K11">
            <v>0</v>
          </cell>
          <cell r="L11">
            <v>-679031250</v>
          </cell>
        </row>
        <row r="12">
          <cell r="A12" t="str">
            <v>Non-Fair Value Option</v>
          </cell>
          <cell r="B12">
            <v>0</v>
          </cell>
          <cell r="C12">
            <v>-1032731250</v>
          </cell>
          <cell r="D12">
            <v>0</v>
          </cell>
          <cell r="E12">
            <v>-1032731250</v>
          </cell>
          <cell r="F12">
            <v>0</v>
          </cell>
          <cell r="G12">
            <v>0</v>
          </cell>
          <cell r="H12">
            <v>353700000</v>
          </cell>
          <cell r="I12">
            <v>0</v>
          </cell>
          <cell r="J12">
            <v>353700000</v>
          </cell>
          <cell r="K12">
            <v>0</v>
          </cell>
          <cell r="L12">
            <v>-679031250</v>
          </cell>
        </row>
        <row r="13">
          <cell r="A13" t="str">
            <v>NA</v>
          </cell>
          <cell r="B13">
            <v>0</v>
          </cell>
          <cell r="C13">
            <v>-1032731250</v>
          </cell>
          <cell r="D13">
            <v>0</v>
          </cell>
          <cell r="E13">
            <v>-1032731250</v>
          </cell>
          <cell r="F13">
            <v>0</v>
          </cell>
          <cell r="G13">
            <v>0</v>
          </cell>
          <cell r="H13">
            <v>353700000</v>
          </cell>
          <cell r="I13">
            <v>0</v>
          </cell>
          <cell r="J13">
            <v>353700000</v>
          </cell>
          <cell r="K13">
            <v>0</v>
          </cell>
          <cell r="L13">
            <v>-679031250</v>
          </cell>
        </row>
        <row r="14">
          <cell r="A14" t="str">
            <v>NA</v>
          </cell>
          <cell r="B14">
            <v>0</v>
          </cell>
          <cell r="C14">
            <v>-1032731250</v>
          </cell>
          <cell r="D14">
            <v>0</v>
          </cell>
          <cell r="E14">
            <v>-1032731250</v>
          </cell>
          <cell r="F14">
            <v>0</v>
          </cell>
          <cell r="G14">
            <v>0</v>
          </cell>
          <cell r="H14">
            <v>353700000</v>
          </cell>
          <cell r="I14">
            <v>0</v>
          </cell>
          <cell r="J14">
            <v>353700000</v>
          </cell>
          <cell r="K14">
            <v>0</v>
          </cell>
          <cell r="L14">
            <v>-679031250</v>
          </cell>
        </row>
        <row r="15">
          <cell r="A15" t="str">
            <v>DVP Repo</v>
          </cell>
          <cell r="B15">
            <v>0</v>
          </cell>
          <cell r="C15">
            <v>-1032731250</v>
          </cell>
          <cell r="D15">
            <v>0</v>
          </cell>
          <cell r="E15">
            <v>-1032731250</v>
          </cell>
          <cell r="F15">
            <v>0</v>
          </cell>
          <cell r="G15">
            <v>0</v>
          </cell>
          <cell r="H15">
            <v>353700000</v>
          </cell>
          <cell r="I15">
            <v>0</v>
          </cell>
          <cell r="J15">
            <v>353700000</v>
          </cell>
          <cell r="K15">
            <v>0</v>
          </cell>
          <cell r="L15">
            <v>-679031250</v>
          </cell>
        </row>
        <row r="16">
          <cell r="A16" t="str">
            <v>DVP Repo</v>
          </cell>
          <cell r="B16">
            <v>0</v>
          </cell>
          <cell r="C16">
            <v>-1032731250</v>
          </cell>
          <cell r="D16">
            <v>0</v>
          </cell>
          <cell r="E16">
            <v>-1032731250</v>
          </cell>
          <cell r="F16">
            <v>0</v>
          </cell>
          <cell r="G16">
            <v>0</v>
          </cell>
          <cell r="H16">
            <v>353700000</v>
          </cell>
          <cell r="I16">
            <v>0</v>
          </cell>
          <cell r="J16">
            <v>353700000</v>
          </cell>
          <cell r="K16">
            <v>0</v>
          </cell>
          <cell r="L16">
            <v>-679031250</v>
          </cell>
        </row>
        <row r="17">
          <cell r="A17" t="str">
            <v>Total Short Term Funding Term</v>
          </cell>
          <cell r="B17">
            <v>-4045000000</v>
          </cell>
          <cell r="C17">
            <v>-6270000000</v>
          </cell>
          <cell r="D17">
            <v>0</v>
          </cell>
          <cell r="E17">
            <v>-6270000000</v>
          </cell>
          <cell r="F17">
            <v>0</v>
          </cell>
          <cell r="G17">
            <v>0</v>
          </cell>
          <cell r="H17">
            <v>7520000000</v>
          </cell>
          <cell r="I17">
            <v>0</v>
          </cell>
          <cell r="J17">
            <v>7520000000</v>
          </cell>
          <cell r="K17">
            <v>0</v>
          </cell>
          <cell r="L17">
            <v>-2795000000</v>
          </cell>
        </row>
        <row r="18">
          <cell r="A18" t="str">
            <v>Non-Fair Value Option</v>
          </cell>
          <cell r="B18">
            <v>-4045000000</v>
          </cell>
          <cell r="C18">
            <v>-6270000000</v>
          </cell>
          <cell r="D18">
            <v>0</v>
          </cell>
          <cell r="E18">
            <v>-6270000000</v>
          </cell>
          <cell r="F18">
            <v>0</v>
          </cell>
          <cell r="G18">
            <v>0</v>
          </cell>
          <cell r="H18">
            <v>7520000000</v>
          </cell>
          <cell r="I18">
            <v>0</v>
          </cell>
          <cell r="J18">
            <v>7520000000</v>
          </cell>
          <cell r="K18">
            <v>0</v>
          </cell>
          <cell r="L18">
            <v>-2795000000</v>
          </cell>
        </row>
        <row r="19">
          <cell r="A19" t="str">
            <v>NA</v>
          </cell>
          <cell r="B19">
            <v>-4045000000</v>
          </cell>
          <cell r="C19">
            <v>-6270000000</v>
          </cell>
          <cell r="D19">
            <v>0</v>
          </cell>
          <cell r="E19">
            <v>-6270000000</v>
          </cell>
          <cell r="F19">
            <v>0</v>
          </cell>
          <cell r="G19">
            <v>0</v>
          </cell>
          <cell r="H19">
            <v>7520000000</v>
          </cell>
          <cell r="I19">
            <v>0</v>
          </cell>
          <cell r="J19">
            <v>7520000000</v>
          </cell>
          <cell r="K19">
            <v>0</v>
          </cell>
          <cell r="L19">
            <v>-2795000000</v>
          </cell>
        </row>
        <row r="20">
          <cell r="A20" t="str">
            <v>NA</v>
          </cell>
          <cell r="B20">
            <v>-4045000000</v>
          </cell>
          <cell r="C20">
            <v>-6270000000</v>
          </cell>
          <cell r="D20">
            <v>0</v>
          </cell>
          <cell r="E20">
            <v>-6270000000</v>
          </cell>
          <cell r="F20">
            <v>0</v>
          </cell>
          <cell r="G20">
            <v>0</v>
          </cell>
          <cell r="H20">
            <v>7520000000</v>
          </cell>
          <cell r="I20">
            <v>0</v>
          </cell>
          <cell r="J20">
            <v>7520000000</v>
          </cell>
          <cell r="K20">
            <v>0</v>
          </cell>
          <cell r="L20">
            <v>-2795000000</v>
          </cell>
        </row>
        <row r="21">
          <cell r="A21" t="str">
            <v>ST-Debt</v>
          </cell>
          <cell r="B21">
            <v>-4045000000</v>
          </cell>
          <cell r="C21">
            <v>-6270000000</v>
          </cell>
          <cell r="D21">
            <v>0</v>
          </cell>
          <cell r="E21">
            <v>-6270000000</v>
          </cell>
          <cell r="F21">
            <v>0</v>
          </cell>
          <cell r="G21">
            <v>0</v>
          </cell>
          <cell r="H21">
            <v>7520000000</v>
          </cell>
          <cell r="I21">
            <v>0</v>
          </cell>
          <cell r="J21">
            <v>7520000000</v>
          </cell>
          <cell r="K21">
            <v>0</v>
          </cell>
          <cell r="L21">
            <v>-2795000000</v>
          </cell>
        </row>
        <row r="22">
          <cell r="A22" t="str">
            <v>ST-Debt</v>
          </cell>
          <cell r="B22">
            <v>-4045000000</v>
          </cell>
          <cell r="C22">
            <v>-6270000000</v>
          </cell>
          <cell r="D22">
            <v>0</v>
          </cell>
          <cell r="E22">
            <v>-6270000000</v>
          </cell>
          <cell r="F22">
            <v>0</v>
          </cell>
          <cell r="G22">
            <v>0</v>
          </cell>
          <cell r="H22">
            <v>7520000000</v>
          </cell>
          <cell r="I22">
            <v>0</v>
          </cell>
          <cell r="J22">
            <v>7520000000</v>
          </cell>
          <cell r="K22">
            <v>0</v>
          </cell>
          <cell r="L22">
            <v>-2795000000</v>
          </cell>
        </row>
        <row r="23">
          <cell r="A23" t="str">
            <v>Total Long Term Funding Debt</v>
          </cell>
          <cell r="B23">
            <v>-179306202189.10001</v>
          </cell>
          <cell r="C23">
            <v>0</v>
          </cell>
          <cell r="D23">
            <v>0</v>
          </cell>
          <cell r="E23">
            <v>0</v>
          </cell>
          <cell r="F23">
            <v>0</v>
          </cell>
          <cell r="G23">
            <v>0</v>
          </cell>
          <cell r="H23">
            <v>15110875507.35</v>
          </cell>
          <cell r="I23">
            <v>63166.71</v>
          </cell>
          <cell r="J23">
            <v>15110938674.059999</v>
          </cell>
          <cell r="K23">
            <v>13987707.6</v>
          </cell>
          <cell r="L23">
            <v>-164181275807.44</v>
          </cell>
        </row>
        <row r="24">
          <cell r="A24" t="str">
            <v>Fair Value Option</v>
          </cell>
          <cell r="B24">
            <v>-1987915164.6099999</v>
          </cell>
          <cell r="C24">
            <v>0</v>
          </cell>
          <cell r="D24">
            <v>0</v>
          </cell>
          <cell r="E24">
            <v>0</v>
          </cell>
          <cell r="F24">
            <v>0</v>
          </cell>
          <cell r="G24">
            <v>0</v>
          </cell>
          <cell r="H24">
            <v>54412378.18</v>
          </cell>
          <cell r="I24">
            <v>0</v>
          </cell>
          <cell r="J24">
            <v>54412378.18</v>
          </cell>
          <cell r="K24">
            <v>0</v>
          </cell>
          <cell r="L24">
            <v>-1933502786.4300001</v>
          </cell>
        </row>
        <row r="25">
          <cell r="A25" t="str">
            <v>NA</v>
          </cell>
          <cell r="B25">
            <v>-1987915164.6099999</v>
          </cell>
          <cell r="C25">
            <v>0</v>
          </cell>
          <cell r="D25">
            <v>0</v>
          </cell>
          <cell r="E25">
            <v>0</v>
          </cell>
          <cell r="F25">
            <v>0</v>
          </cell>
          <cell r="G25">
            <v>0</v>
          </cell>
          <cell r="H25">
            <v>54412378.18</v>
          </cell>
          <cell r="I25">
            <v>0</v>
          </cell>
          <cell r="J25">
            <v>54412378.18</v>
          </cell>
          <cell r="K25">
            <v>0</v>
          </cell>
          <cell r="L25">
            <v>-1933502786.4300001</v>
          </cell>
        </row>
        <row r="26">
          <cell r="A26" t="str">
            <v>NA</v>
          </cell>
          <cell r="B26">
            <v>-1987915164.6099999</v>
          </cell>
          <cell r="C26">
            <v>0</v>
          </cell>
          <cell r="D26">
            <v>0</v>
          </cell>
          <cell r="E26">
            <v>0</v>
          </cell>
          <cell r="F26">
            <v>0</v>
          </cell>
          <cell r="G26">
            <v>0</v>
          </cell>
          <cell r="H26">
            <v>54412378.18</v>
          </cell>
          <cell r="I26">
            <v>0</v>
          </cell>
          <cell r="J26">
            <v>54412378.18</v>
          </cell>
          <cell r="K26">
            <v>0</v>
          </cell>
          <cell r="L26">
            <v>-1933502786.4300001</v>
          </cell>
        </row>
        <row r="27">
          <cell r="A27" t="str">
            <v>LT - CAS</v>
          </cell>
          <cell r="B27">
            <v>-1737915164.6099999</v>
          </cell>
          <cell r="C27">
            <v>0</v>
          </cell>
          <cell r="D27">
            <v>0</v>
          </cell>
          <cell r="E27">
            <v>0</v>
          </cell>
          <cell r="F27">
            <v>0</v>
          </cell>
          <cell r="G27">
            <v>0</v>
          </cell>
          <cell r="H27">
            <v>54412378.18</v>
          </cell>
          <cell r="I27">
            <v>0</v>
          </cell>
          <cell r="J27">
            <v>54412378.18</v>
          </cell>
          <cell r="K27">
            <v>0</v>
          </cell>
          <cell r="L27">
            <v>-1683502786.4300001</v>
          </cell>
        </row>
        <row r="28">
          <cell r="A28" t="str">
            <v>LT - CAS</v>
          </cell>
          <cell r="B28">
            <v>-1737915164.6099999</v>
          </cell>
          <cell r="C28">
            <v>0</v>
          </cell>
          <cell r="D28">
            <v>0</v>
          </cell>
          <cell r="E28">
            <v>0</v>
          </cell>
          <cell r="F28">
            <v>0</v>
          </cell>
          <cell r="G28">
            <v>0</v>
          </cell>
          <cell r="H28">
            <v>54412378.18</v>
          </cell>
          <cell r="I28">
            <v>0</v>
          </cell>
          <cell r="J28">
            <v>54412378.18</v>
          </cell>
          <cell r="K28">
            <v>0</v>
          </cell>
          <cell r="L28">
            <v>-1683502786.4300001</v>
          </cell>
        </row>
        <row r="29">
          <cell r="A29" t="str">
            <v>Non-Callable Floating Rate MTN</v>
          </cell>
          <cell r="B29">
            <v>-250000000</v>
          </cell>
          <cell r="C29">
            <v>0</v>
          </cell>
          <cell r="D29">
            <v>0</v>
          </cell>
          <cell r="E29">
            <v>0</v>
          </cell>
          <cell r="F29">
            <v>0</v>
          </cell>
          <cell r="G29">
            <v>0</v>
          </cell>
          <cell r="H29">
            <v>0</v>
          </cell>
          <cell r="I29">
            <v>0</v>
          </cell>
          <cell r="J29">
            <v>0</v>
          </cell>
          <cell r="K29">
            <v>0</v>
          </cell>
          <cell r="L29">
            <v>-250000000</v>
          </cell>
        </row>
        <row r="30">
          <cell r="A30" t="str">
            <v>Non-Callable Floating Rate MTN</v>
          </cell>
          <cell r="B30">
            <v>-250000000</v>
          </cell>
          <cell r="C30">
            <v>0</v>
          </cell>
          <cell r="D30">
            <v>0</v>
          </cell>
          <cell r="E30">
            <v>0</v>
          </cell>
          <cell r="F30">
            <v>0</v>
          </cell>
          <cell r="G30">
            <v>0</v>
          </cell>
          <cell r="H30">
            <v>0</v>
          </cell>
          <cell r="I30">
            <v>0</v>
          </cell>
          <cell r="J30">
            <v>0</v>
          </cell>
          <cell r="K30">
            <v>0</v>
          </cell>
          <cell r="L30">
            <v>-250000000</v>
          </cell>
        </row>
        <row r="31">
          <cell r="A31" t="str">
            <v>Non-Fair Value Option</v>
          </cell>
          <cell r="B31">
            <v>-177318287024.48999</v>
          </cell>
          <cell r="C31">
            <v>0</v>
          </cell>
          <cell r="D31">
            <v>0</v>
          </cell>
          <cell r="E31">
            <v>0</v>
          </cell>
          <cell r="F31">
            <v>0</v>
          </cell>
          <cell r="G31">
            <v>0</v>
          </cell>
          <cell r="H31">
            <v>15056463129.17</v>
          </cell>
          <cell r="I31">
            <v>63166.71</v>
          </cell>
          <cell r="J31">
            <v>15056526295.879999</v>
          </cell>
          <cell r="K31">
            <v>13987707.6</v>
          </cell>
          <cell r="L31">
            <v>-162247773021.01001</v>
          </cell>
        </row>
        <row r="32">
          <cell r="A32" t="str">
            <v>NA</v>
          </cell>
          <cell r="B32">
            <v>-177318287024.48999</v>
          </cell>
          <cell r="C32">
            <v>0</v>
          </cell>
          <cell r="D32">
            <v>0</v>
          </cell>
          <cell r="E32">
            <v>0</v>
          </cell>
          <cell r="F32">
            <v>0</v>
          </cell>
          <cell r="G32">
            <v>0</v>
          </cell>
          <cell r="H32">
            <v>15056463129.17</v>
          </cell>
          <cell r="I32">
            <v>63166.71</v>
          </cell>
          <cell r="J32">
            <v>15056526295.879999</v>
          </cell>
          <cell r="K32">
            <v>13987707.6</v>
          </cell>
          <cell r="L32">
            <v>-162247773021.01001</v>
          </cell>
        </row>
        <row r="33">
          <cell r="A33" t="str">
            <v>NA</v>
          </cell>
          <cell r="B33">
            <v>-177318287024.48999</v>
          </cell>
          <cell r="C33">
            <v>0</v>
          </cell>
          <cell r="D33">
            <v>0</v>
          </cell>
          <cell r="E33">
            <v>0</v>
          </cell>
          <cell r="F33">
            <v>0</v>
          </cell>
          <cell r="G33">
            <v>0</v>
          </cell>
          <cell r="H33">
            <v>15056463129.17</v>
          </cell>
          <cell r="I33">
            <v>63166.71</v>
          </cell>
          <cell r="J33">
            <v>15056526295.879999</v>
          </cell>
          <cell r="K33">
            <v>13987707.6</v>
          </cell>
          <cell r="L33">
            <v>-162247773021.01001</v>
          </cell>
        </row>
        <row r="34">
          <cell r="A34" t="str">
            <v>Benchmark Notes &amp; Bonds</v>
          </cell>
          <cell r="B34">
            <v>-85739666000</v>
          </cell>
          <cell r="C34">
            <v>0</v>
          </cell>
          <cell r="D34">
            <v>0</v>
          </cell>
          <cell r="E34">
            <v>0</v>
          </cell>
          <cell r="F34">
            <v>0</v>
          </cell>
          <cell r="G34">
            <v>0</v>
          </cell>
          <cell r="H34">
            <v>4000000000</v>
          </cell>
          <cell r="I34">
            <v>0</v>
          </cell>
          <cell r="J34">
            <v>4000000000</v>
          </cell>
          <cell r="K34">
            <v>0</v>
          </cell>
          <cell r="L34">
            <v>-81739666000</v>
          </cell>
        </row>
        <row r="35">
          <cell r="A35" t="str">
            <v>Benchmark Notes &amp; Bonds</v>
          </cell>
          <cell r="B35">
            <v>-85739666000</v>
          </cell>
          <cell r="C35">
            <v>0</v>
          </cell>
          <cell r="D35">
            <v>0</v>
          </cell>
          <cell r="E35">
            <v>0</v>
          </cell>
          <cell r="F35">
            <v>0</v>
          </cell>
          <cell r="G35">
            <v>0</v>
          </cell>
          <cell r="H35">
            <v>4000000000</v>
          </cell>
          <cell r="I35">
            <v>0</v>
          </cell>
          <cell r="J35">
            <v>4000000000</v>
          </cell>
          <cell r="K35">
            <v>0</v>
          </cell>
          <cell r="L35">
            <v>-81739666000</v>
          </cell>
        </row>
        <row r="36">
          <cell r="A36" t="str">
            <v>Callable Fixed Rate MTN</v>
          </cell>
          <cell r="B36">
            <v>-37153790000</v>
          </cell>
          <cell r="C36">
            <v>0</v>
          </cell>
          <cell r="D36">
            <v>0</v>
          </cell>
          <cell r="E36">
            <v>0</v>
          </cell>
          <cell r="F36">
            <v>0</v>
          </cell>
          <cell r="G36">
            <v>0</v>
          </cell>
          <cell r="H36">
            <v>0</v>
          </cell>
          <cell r="I36">
            <v>0</v>
          </cell>
          <cell r="J36">
            <v>0</v>
          </cell>
          <cell r="K36">
            <v>0</v>
          </cell>
          <cell r="L36">
            <v>-37153790000</v>
          </cell>
        </row>
        <row r="37">
          <cell r="A37" t="str">
            <v>Callable Fixed Rate MTN</v>
          </cell>
          <cell r="B37">
            <v>-37153790000</v>
          </cell>
          <cell r="C37">
            <v>0</v>
          </cell>
          <cell r="D37">
            <v>0</v>
          </cell>
          <cell r="E37">
            <v>0</v>
          </cell>
          <cell r="F37">
            <v>0</v>
          </cell>
          <cell r="G37">
            <v>0</v>
          </cell>
          <cell r="H37">
            <v>0</v>
          </cell>
          <cell r="I37">
            <v>0</v>
          </cell>
          <cell r="J37">
            <v>0</v>
          </cell>
          <cell r="K37">
            <v>0</v>
          </cell>
          <cell r="L37">
            <v>-37153790000</v>
          </cell>
        </row>
        <row r="38">
          <cell r="A38" t="str">
            <v>LT - CAS</v>
          </cell>
          <cell r="B38">
            <v>-8657819556.2900009</v>
          </cell>
          <cell r="C38">
            <v>0</v>
          </cell>
          <cell r="D38">
            <v>0</v>
          </cell>
          <cell r="E38">
            <v>0</v>
          </cell>
          <cell r="F38">
            <v>0</v>
          </cell>
          <cell r="G38">
            <v>0</v>
          </cell>
          <cell r="H38">
            <v>204240211.16999999</v>
          </cell>
          <cell r="I38">
            <v>63166.71</v>
          </cell>
          <cell r="J38">
            <v>204303377.88</v>
          </cell>
          <cell r="K38">
            <v>0</v>
          </cell>
          <cell r="L38">
            <v>-8453516178.4099998</v>
          </cell>
        </row>
        <row r="39">
          <cell r="A39" t="str">
            <v>LT - CAS</v>
          </cell>
          <cell r="B39">
            <v>-8657819556.2900009</v>
          </cell>
          <cell r="C39">
            <v>0</v>
          </cell>
          <cell r="D39">
            <v>0</v>
          </cell>
          <cell r="E39">
            <v>0</v>
          </cell>
          <cell r="F39">
            <v>0</v>
          </cell>
          <cell r="G39">
            <v>0</v>
          </cell>
          <cell r="H39">
            <v>204240211.16999999</v>
          </cell>
          <cell r="I39">
            <v>63166.71</v>
          </cell>
          <cell r="J39">
            <v>204303377.88</v>
          </cell>
          <cell r="K39">
            <v>0</v>
          </cell>
          <cell r="L39">
            <v>-8453516178.4099998</v>
          </cell>
        </row>
        <row r="40">
          <cell r="A40" t="str">
            <v>LT - FX Debt</v>
          </cell>
          <cell r="B40">
            <v>-325834224.19999999</v>
          </cell>
          <cell r="C40">
            <v>0</v>
          </cell>
          <cell r="D40">
            <v>0</v>
          </cell>
          <cell r="E40">
            <v>0</v>
          </cell>
          <cell r="F40">
            <v>0</v>
          </cell>
          <cell r="G40">
            <v>0</v>
          </cell>
          <cell r="H40">
            <v>0</v>
          </cell>
          <cell r="I40">
            <v>0</v>
          </cell>
          <cell r="J40">
            <v>0</v>
          </cell>
          <cell r="K40">
            <v>13987707.6</v>
          </cell>
          <cell r="L40">
            <v>-311846516.60000002</v>
          </cell>
        </row>
        <row r="41">
          <cell r="A41" t="str">
            <v>LT - FX Debt</v>
          </cell>
          <cell r="B41">
            <v>-325834224.19999999</v>
          </cell>
          <cell r="C41">
            <v>0</v>
          </cell>
          <cell r="D41">
            <v>0</v>
          </cell>
          <cell r="E41">
            <v>0</v>
          </cell>
          <cell r="F41">
            <v>0</v>
          </cell>
          <cell r="G41">
            <v>0</v>
          </cell>
          <cell r="H41">
            <v>0</v>
          </cell>
          <cell r="I41">
            <v>0</v>
          </cell>
          <cell r="J41">
            <v>0</v>
          </cell>
          <cell r="K41">
            <v>13987707.6</v>
          </cell>
          <cell r="L41">
            <v>-311846516.60000002</v>
          </cell>
        </row>
        <row r="42">
          <cell r="A42" t="str">
            <v>Non-Callable Fixed Rate MTN</v>
          </cell>
          <cell r="B42">
            <v>-8030177244</v>
          </cell>
          <cell r="C42">
            <v>0</v>
          </cell>
          <cell r="D42">
            <v>0</v>
          </cell>
          <cell r="E42">
            <v>0</v>
          </cell>
          <cell r="F42">
            <v>0</v>
          </cell>
          <cell r="G42">
            <v>0</v>
          </cell>
          <cell r="H42">
            <v>258222918</v>
          </cell>
          <cell r="I42">
            <v>0</v>
          </cell>
          <cell r="J42">
            <v>258222918</v>
          </cell>
          <cell r="K42">
            <v>0</v>
          </cell>
          <cell r="L42">
            <v>-7771954326</v>
          </cell>
        </row>
        <row r="43">
          <cell r="A43" t="str">
            <v>Non-Callable Fixed Rate MTN</v>
          </cell>
          <cell r="B43">
            <v>-8030177244</v>
          </cell>
          <cell r="C43">
            <v>0</v>
          </cell>
          <cell r="D43">
            <v>0</v>
          </cell>
          <cell r="E43">
            <v>0</v>
          </cell>
          <cell r="F43">
            <v>0</v>
          </cell>
          <cell r="G43">
            <v>0</v>
          </cell>
          <cell r="H43">
            <v>258222918</v>
          </cell>
          <cell r="I43">
            <v>0</v>
          </cell>
          <cell r="J43">
            <v>258222918</v>
          </cell>
          <cell r="K43">
            <v>0</v>
          </cell>
          <cell r="L43">
            <v>-7771954326</v>
          </cell>
        </row>
        <row r="44">
          <cell r="A44" t="str">
            <v>Non-Callable Floating Rate MTN</v>
          </cell>
          <cell r="B44">
            <v>-37411000000</v>
          </cell>
          <cell r="C44">
            <v>0</v>
          </cell>
          <cell r="D44">
            <v>0</v>
          </cell>
          <cell r="E44">
            <v>0</v>
          </cell>
          <cell r="F44">
            <v>0</v>
          </cell>
          <cell r="G44">
            <v>0</v>
          </cell>
          <cell r="H44">
            <v>10594000000</v>
          </cell>
          <cell r="I44">
            <v>0</v>
          </cell>
          <cell r="J44">
            <v>10594000000</v>
          </cell>
          <cell r="K44">
            <v>0</v>
          </cell>
          <cell r="L44">
            <v>-26817000000</v>
          </cell>
        </row>
        <row r="45">
          <cell r="A45" t="str">
            <v>Non-Callable Floating Rate MTN</v>
          </cell>
          <cell r="B45">
            <v>-37411000000</v>
          </cell>
          <cell r="C45">
            <v>0</v>
          </cell>
          <cell r="D45">
            <v>0</v>
          </cell>
          <cell r="E45">
            <v>0</v>
          </cell>
          <cell r="F45">
            <v>0</v>
          </cell>
          <cell r="G45">
            <v>0</v>
          </cell>
          <cell r="H45">
            <v>10594000000</v>
          </cell>
          <cell r="I45">
            <v>0</v>
          </cell>
          <cell r="J45">
            <v>10594000000</v>
          </cell>
          <cell r="K45">
            <v>0</v>
          </cell>
          <cell r="L45">
            <v>-26817000000</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GL Tie out"/>
      <sheetName val=" Funding Summary"/>
      <sheetName val="Summary"/>
      <sheetName val="CUSIP Details"/>
    </sheetNames>
    <sheetDataSet>
      <sheetData sheetId="0"/>
      <sheetData sheetId="1"/>
      <sheetData sheetId="2"/>
      <sheetData sheetId="3">
        <row r="5">
          <cell r="A5" t="str">
            <v>Enter Accounting Framework:</v>
          </cell>
          <cell r="B5" t="str">
            <v>GAAP Accounting</v>
          </cell>
        </row>
        <row r="7">
          <cell r="A7" t="str">
            <v>Date and Time: 06/02/2022 04:36 PM</v>
          </cell>
        </row>
        <row r="8">
          <cell r="A8" t="str">
            <v>Report Environment: PROD</v>
          </cell>
        </row>
        <row r="9">
          <cell r="A9" t="str">
            <v>Report Description: This report shows Debt redemption value (UPB) activity, walking forward from beginning balance to ending balance. All Debt is represented in USD Equivalent only</v>
          </cell>
        </row>
        <row r="10">
          <cell r="A10" t="str">
            <v>Term Type</v>
          </cell>
          <cell r="B10" t="str">
            <v>Beginning Balance</v>
          </cell>
          <cell r="C10" t="str">
            <v>New Issues (-)</v>
          </cell>
          <cell r="D10" t="str">
            <v>Re-opens (-)</v>
          </cell>
          <cell r="E10" t="str">
            <v>Total Issuances (-)</v>
          </cell>
          <cell r="F10" t="str">
            <v>Repurchases (+)</v>
          </cell>
          <cell r="G10" t="str">
            <v>Calls / Puts (+)</v>
          </cell>
          <cell r="H10" t="str">
            <v>Scheduled Paydown / Maturites (+)</v>
          </cell>
          <cell r="I10" t="str">
            <v>Non-Cash Principal Adjustment</v>
          </cell>
          <cell r="J10" t="str">
            <v>Total Redemptions (+)</v>
          </cell>
          <cell r="K10" t="str">
            <v>FX Translation Gain / (Loss)</v>
          </cell>
          <cell r="L10" t="str">
            <v>Report Calculated Ending Balance</v>
          </cell>
        </row>
        <row r="11">
          <cell r="A11" t="str">
            <v>Total Fed Funds Purchased &amp; Repo</v>
          </cell>
          <cell r="B11">
            <v>-679031250</v>
          </cell>
          <cell r="C11">
            <v>-258862500</v>
          </cell>
          <cell r="D11">
            <v>0</v>
          </cell>
          <cell r="E11">
            <v>-258862500</v>
          </cell>
          <cell r="F11">
            <v>0</v>
          </cell>
          <cell r="G11">
            <v>0</v>
          </cell>
          <cell r="H11">
            <v>937893750</v>
          </cell>
          <cell r="I11">
            <v>0</v>
          </cell>
          <cell r="J11">
            <v>937893750</v>
          </cell>
          <cell r="K11">
            <v>0</v>
          </cell>
          <cell r="L11">
            <v>0</v>
          </cell>
        </row>
        <row r="12">
          <cell r="A12" t="str">
            <v>Non-Fair Value Option</v>
          </cell>
          <cell r="B12">
            <v>-679031250</v>
          </cell>
          <cell r="C12">
            <v>-258862500</v>
          </cell>
          <cell r="D12">
            <v>0</v>
          </cell>
          <cell r="E12">
            <v>-258862500</v>
          </cell>
          <cell r="F12">
            <v>0</v>
          </cell>
          <cell r="G12">
            <v>0</v>
          </cell>
          <cell r="H12">
            <v>937893750</v>
          </cell>
          <cell r="I12">
            <v>0</v>
          </cell>
          <cell r="J12">
            <v>937893750</v>
          </cell>
          <cell r="K12">
            <v>0</v>
          </cell>
          <cell r="L12">
            <v>0</v>
          </cell>
        </row>
        <row r="13">
          <cell r="A13" t="str">
            <v>NA</v>
          </cell>
          <cell r="B13">
            <v>-679031250</v>
          </cell>
          <cell r="C13">
            <v>-258862500</v>
          </cell>
          <cell r="D13">
            <v>0</v>
          </cell>
          <cell r="E13">
            <v>-258862500</v>
          </cell>
          <cell r="F13">
            <v>0</v>
          </cell>
          <cell r="G13">
            <v>0</v>
          </cell>
          <cell r="H13">
            <v>937893750</v>
          </cell>
          <cell r="I13">
            <v>0</v>
          </cell>
          <cell r="J13">
            <v>937893750</v>
          </cell>
          <cell r="K13">
            <v>0</v>
          </cell>
          <cell r="L13">
            <v>0</v>
          </cell>
        </row>
        <row r="14">
          <cell r="A14" t="str">
            <v>NA</v>
          </cell>
          <cell r="B14">
            <v>-679031250</v>
          </cell>
          <cell r="C14">
            <v>-258862500</v>
          </cell>
          <cell r="D14">
            <v>0</v>
          </cell>
          <cell r="E14">
            <v>-258862500</v>
          </cell>
          <cell r="F14">
            <v>0</v>
          </cell>
          <cell r="G14">
            <v>0</v>
          </cell>
          <cell r="H14">
            <v>937893750</v>
          </cell>
          <cell r="I14">
            <v>0</v>
          </cell>
          <cell r="J14">
            <v>937893750</v>
          </cell>
          <cell r="K14">
            <v>0</v>
          </cell>
          <cell r="L14">
            <v>0</v>
          </cell>
        </row>
        <row r="15">
          <cell r="A15" t="str">
            <v>DVP Repo</v>
          </cell>
          <cell r="B15">
            <v>-679031250</v>
          </cell>
          <cell r="C15">
            <v>-258862500</v>
          </cell>
          <cell r="D15">
            <v>0</v>
          </cell>
          <cell r="E15">
            <v>-258862500</v>
          </cell>
          <cell r="F15">
            <v>0</v>
          </cell>
          <cell r="G15">
            <v>0</v>
          </cell>
          <cell r="H15">
            <v>937893750</v>
          </cell>
          <cell r="I15">
            <v>0</v>
          </cell>
          <cell r="J15">
            <v>937893750</v>
          </cell>
          <cell r="K15">
            <v>0</v>
          </cell>
          <cell r="L15">
            <v>0</v>
          </cell>
        </row>
        <row r="16">
          <cell r="A16" t="str">
            <v>DVP Repo</v>
          </cell>
          <cell r="B16">
            <v>-679031250</v>
          </cell>
          <cell r="C16">
            <v>-258862500</v>
          </cell>
          <cell r="D16">
            <v>0</v>
          </cell>
          <cell r="E16">
            <v>-258862500</v>
          </cell>
          <cell r="F16">
            <v>0</v>
          </cell>
          <cell r="G16">
            <v>0</v>
          </cell>
          <cell r="H16">
            <v>937893750</v>
          </cell>
          <cell r="I16">
            <v>0</v>
          </cell>
          <cell r="J16">
            <v>937893750</v>
          </cell>
          <cell r="K16">
            <v>0</v>
          </cell>
          <cell r="L16">
            <v>0</v>
          </cell>
        </row>
        <row r="17">
          <cell r="A17" t="str">
            <v>Total Short Term Funding Term</v>
          </cell>
          <cell r="B17">
            <v>-2795000000</v>
          </cell>
          <cell r="C17">
            <v>-1125000000</v>
          </cell>
          <cell r="D17">
            <v>0</v>
          </cell>
          <cell r="E17">
            <v>-1125000000</v>
          </cell>
          <cell r="F17">
            <v>0</v>
          </cell>
          <cell r="G17">
            <v>0</v>
          </cell>
          <cell r="H17">
            <v>1375000000</v>
          </cell>
          <cell r="I17">
            <v>0</v>
          </cell>
          <cell r="J17">
            <v>1375000000</v>
          </cell>
          <cell r="K17">
            <v>0</v>
          </cell>
          <cell r="L17">
            <v>-2545000000</v>
          </cell>
        </row>
        <row r="18">
          <cell r="A18" t="str">
            <v>Non-Fair Value Option</v>
          </cell>
          <cell r="B18">
            <v>-2795000000</v>
          </cell>
          <cell r="C18">
            <v>-1125000000</v>
          </cell>
          <cell r="D18">
            <v>0</v>
          </cell>
          <cell r="E18">
            <v>-1125000000</v>
          </cell>
          <cell r="F18">
            <v>0</v>
          </cell>
          <cell r="G18">
            <v>0</v>
          </cell>
          <cell r="H18">
            <v>1375000000</v>
          </cell>
          <cell r="I18">
            <v>0</v>
          </cell>
          <cell r="J18">
            <v>1375000000</v>
          </cell>
          <cell r="K18">
            <v>0</v>
          </cell>
          <cell r="L18">
            <v>-2545000000</v>
          </cell>
        </row>
        <row r="19">
          <cell r="A19" t="str">
            <v>NA</v>
          </cell>
          <cell r="B19">
            <v>-2795000000</v>
          </cell>
          <cell r="C19">
            <v>-1125000000</v>
          </cell>
          <cell r="D19">
            <v>0</v>
          </cell>
          <cell r="E19">
            <v>-1125000000</v>
          </cell>
          <cell r="F19">
            <v>0</v>
          </cell>
          <cell r="G19">
            <v>0</v>
          </cell>
          <cell r="H19">
            <v>1375000000</v>
          </cell>
          <cell r="I19">
            <v>0</v>
          </cell>
          <cell r="J19">
            <v>1375000000</v>
          </cell>
          <cell r="K19">
            <v>0</v>
          </cell>
          <cell r="L19">
            <v>-2545000000</v>
          </cell>
        </row>
        <row r="20">
          <cell r="A20" t="str">
            <v>NA</v>
          </cell>
          <cell r="B20">
            <v>-2795000000</v>
          </cell>
          <cell r="C20">
            <v>-1125000000</v>
          </cell>
          <cell r="D20">
            <v>0</v>
          </cell>
          <cell r="E20">
            <v>-1125000000</v>
          </cell>
          <cell r="F20">
            <v>0</v>
          </cell>
          <cell r="G20">
            <v>0</v>
          </cell>
          <cell r="H20">
            <v>1375000000</v>
          </cell>
          <cell r="I20">
            <v>0</v>
          </cell>
          <cell r="J20">
            <v>1375000000</v>
          </cell>
          <cell r="K20">
            <v>0</v>
          </cell>
          <cell r="L20">
            <v>-2545000000</v>
          </cell>
        </row>
        <row r="21">
          <cell r="A21" t="str">
            <v>ST-Debt</v>
          </cell>
          <cell r="B21">
            <v>-2795000000</v>
          </cell>
          <cell r="C21">
            <v>-1125000000</v>
          </cell>
          <cell r="D21">
            <v>0</v>
          </cell>
          <cell r="E21">
            <v>-1125000000</v>
          </cell>
          <cell r="F21">
            <v>0</v>
          </cell>
          <cell r="G21">
            <v>0</v>
          </cell>
          <cell r="H21">
            <v>1375000000</v>
          </cell>
          <cell r="I21">
            <v>0</v>
          </cell>
          <cell r="J21">
            <v>1375000000</v>
          </cell>
          <cell r="K21">
            <v>0</v>
          </cell>
          <cell r="L21">
            <v>-2545000000</v>
          </cell>
        </row>
        <row r="22">
          <cell r="A22" t="str">
            <v>ST-Debt</v>
          </cell>
          <cell r="B22">
            <v>-2795000000</v>
          </cell>
          <cell r="C22">
            <v>-1125000000</v>
          </cell>
          <cell r="D22">
            <v>0</v>
          </cell>
          <cell r="E22">
            <v>-1125000000</v>
          </cell>
          <cell r="F22">
            <v>0</v>
          </cell>
          <cell r="G22">
            <v>0</v>
          </cell>
          <cell r="H22">
            <v>1375000000</v>
          </cell>
          <cell r="I22">
            <v>0</v>
          </cell>
          <cell r="J22">
            <v>1375000000</v>
          </cell>
          <cell r="K22">
            <v>0</v>
          </cell>
          <cell r="L22">
            <v>-2545000000</v>
          </cell>
        </row>
        <row r="23">
          <cell r="A23" t="str">
            <v>Total Long Term Funding Debt</v>
          </cell>
          <cell r="B23">
            <v>-164181275807.44</v>
          </cell>
          <cell r="C23">
            <v>0</v>
          </cell>
          <cell r="D23">
            <v>0</v>
          </cell>
          <cell r="E23">
            <v>0</v>
          </cell>
          <cell r="F23">
            <v>0</v>
          </cell>
          <cell r="G23">
            <v>0</v>
          </cell>
          <cell r="H23">
            <v>15197836123.450001</v>
          </cell>
          <cell r="I23">
            <v>-23072.240000000002</v>
          </cell>
          <cell r="J23">
            <v>15197813051.209999</v>
          </cell>
          <cell r="K23">
            <v>-694425.45</v>
          </cell>
          <cell r="L23">
            <v>-148984157181.67999</v>
          </cell>
        </row>
        <row r="24">
          <cell r="A24" t="str">
            <v>Fair Value Option</v>
          </cell>
          <cell r="B24">
            <v>-1933502786.4300001</v>
          </cell>
          <cell r="C24">
            <v>0</v>
          </cell>
          <cell r="D24">
            <v>0</v>
          </cell>
          <cell r="E24">
            <v>0</v>
          </cell>
          <cell r="F24">
            <v>0</v>
          </cell>
          <cell r="G24">
            <v>0</v>
          </cell>
          <cell r="H24">
            <v>55279992.009999998</v>
          </cell>
          <cell r="I24">
            <v>0</v>
          </cell>
          <cell r="J24">
            <v>55279992.009999998</v>
          </cell>
          <cell r="K24">
            <v>0</v>
          </cell>
          <cell r="L24">
            <v>-1878222794.4200001</v>
          </cell>
        </row>
        <row r="25">
          <cell r="A25" t="str">
            <v>NA</v>
          </cell>
          <cell r="B25">
            <v>-1933502786.4300001</v>
          </cell>
          <cell r="C25">
            <v>0</v>
          </cell>
          <cell r="D25">
            <v>0</v>
          </cell>
          <cell r="E25">
            <v>0</v>
          </cell>
          <cell r="F25">
            <v>0</v>
          </cell>
          <cell r="G25">
            <v>0</v>
          </cell>
          <cell r="H25">
            <v>55279992.009999998</v>
          </cell>
          <cell r="I25">
            <v>0</v>
          </cell>
          <cell r="J25">
            <v>55279992.009999998</v>
          </cell>
          <cell r="K25">
            <v>0</v>
          </cell>
          <cell r="L25">
            <v>-1878222794.4200001</v>
          </cell>
        </row>
        <row r="26">
          <cell r="A26" t="str">
            <v>NA</v>
          </cell>
          <cell r="B26">
            <v>-1933502786.4300001</v>
          </cell>
          <cell r="C26">
            <v>0</v>
          </cell>
          <cell r="D26">
            <v>0</v>
          </cell>
          <cell r="E26">
            <v>0</v>
          </cell>
          <cell r="F26">
            <v>0</v>
          </cell>
          <cell r="G26">
            <v>0</v>
          </cell>
          <cell r="H26">
            <v>55279992.009999998</v>
          </cell>
          <cell r="I26">
            <v>0</v>
          </cell>
          <cell r="J26">
            <v>55279992.009999998</v>
          </cell>
          <cell r="K26">
            <v>0</v>
          </cell>
          <cell r="L26">
            <v>-1878222794.4200001</v>
          </cell>
        </row>
        <row r="27">
          <cell r="A27" t="str">
            <v>LT - CAS</v>
          </cell>
          <cell r="B27">
            <v>-1683502786.4300001</v>
          </cell>
          <cell r="C27">
            <v>0</v>
          </cell>
          <cell r="D27">
            <v>0</v>
          </cell>
          <cell r="E27">
            <v>0</v>
          </cell>
          <cell r="F27">
            <v>0</v>
          </cell>
          <cell r="G27">
            <v>0</v>
          </cell>
          <cell r="H27">
            <v>55279992.009999998</v>
          </cell>
          <cell r="I27">
            <v>0</v>
          </cell>
          <cell r="J27">
            <v>55279992.009999998</v>
          </cell>
          <cell r="K27">
            <v>0</v>
          </cell>
          <cell r="L27">
            <v>-1628222794.4200001</v>
          </cell>
        </row>
        <row r="28">
          <cell r="A28" t="str">
            <v>LT - CAS</v>
          </cell>
          <cell r="B28">
            <v>-1683502786.4300001</v>
          </cell>
          <cell r="C28">
            <v>0</v>
          </cell>
          <cell r="D28">
            <v>0</v>
          </cell>
          <cell r="E28">
            <v>0</v>
          </cell>
          <cell r="F28">
            <v>0</v>
          </cell>
          <cell r="G28">
            <v>0</v>
          </cell>
          <cell r="H28">
            <v>55279992.009999998</v>
          </cell>
          <cell r="I28">
            <v>0</v>
          </cell>
          <cell r="J28">
            <v>55279992.009999998</v>
          </cell>
          <cell r="K28">
            <v>0</v>
          </cell>
          <cell r="L28">
            <v>-1628222794.4200001</v>
          </cell>
        </row>
        <row r="29">
          <cell r="A29" t="str">
            <v>Non-Callable Floating Rate MTN</v>
          </cell>
          <cell r="B29">
            <v>-250000000</v>
          </cell>
          <cell r="C29">
            <v>0</v>
          </cell>
          <cell r="D29">
            <v>0</v>
          </cell>
          <cell r="E29">
            <v>0</v>
          </cell>
          <cell r="F29">
            <v>0</v>
          </cell>
          <cell r="G29">
            <v>0</v>
          </cell>
          <cell r="H29">
            <v>0</v>
          </cell>
          <cell r="I29">
            <v>0</v>
          </cell>
          <cell r="J29">
            <v>0</v>
          </cell>
          <cell r="K29">
            <v>0</v>
          </cell>
          <cell r="L29">
            <v>-250000000</v>
          </cell>
        </row>
        <row r="30">
          <cell r="A30" t="str">
            <v>Non-Callable Floating Rate MTN</v>
          </cell>
          <cell r="B30">
            <v>-250000000</v>
          </cell>
          <cell r="C30">
            <v>0</v>
          </cell>
          <cell r="D30">
            <v>0</v>
          </cell>
          <cell r="E30">
            <v>0</v>
          </cell>
          <cell r="F30">
            <v>0</v>
          </cell>
          <cell r="G30">
            <v>0</v>
          </cell>
          <cell r="H30">
            <v>0</v>
          </cell>
          <cell r="I30">
            <v>0</v>
          </cell>
          <cell r="J30">
            <v>0</v>
          </cell>
          <cell r="K30">
            <v>0</v>
          </cell>
          <cell r="L30">
            <v>-250000000</v>
          </cell>
        </row>
        <row r="31">
          <cell r="A31" t="str">
            <v>Non-Fair Value Option</v>
          </cell>
          <cell r="B31">
            <v>-162247773021.01001</v>
          </cell>
          <cell r="C31">
            <v>0</v>
          </cell>
          <cell r="D31">
            <v>0</v>
          </cell>
          <cell r="E31">
            <v>0</v>
          </cell>
          <cell r="F31">
            <v>0</v>
          </cell>
          <cell r="G31">
            <v>0</v>
          </cell>
          <cell r="H31">
            <v>15142556131.440001</v>
          </cell>
          <cell r="I31">
            <v>-23072.240000000002</v>
          </cell>
          <cell r="J31">
            <v>15142533059.200001</v>
          </cell>
          <cell r="K31">
            <v>-694425.45</v>
          </cell>
          <cell r="L31">
            <v>-147105934387.26001</v>
          </cell>
        </row>
        <row r="32">
          <cell r="A32" t="str">
            <v>NA</v>
          </cell>
          <cell r="B32">
            <v>-162247773021.01001</v>
          </cell>
          <cell r="C32">
            <v>0</v>
          </cell>
          <cell r="D32">
            <v>0</v>
          </cell>
          <cell r="E32">
            <v>0</v>
          </cell>
          <cell r="F32">
            <v>0</v>
          </cell>
          <cell r="G32">
            <v>0</v>
          </cell>
          <cell r="H32">
            <v>15142556131.440001</v>
          </cell>
          <cell r="I32">
            <v>-23072.240000000002</v>
          </cell>
          <cell r="J32">
            <v>15142533059.200001</v>
          </cell>
          <cell r="K32">
            <v>-694425.45</v>
          </cell>
          <cell r="L32">
            <v>-147105934387.26001</v>
          </cell>
        </row>
        <row r="33">
          <cell r="A33" t="str">
            <v>NA</v>
          </cell>
          <cell r="B33">
            <v>-162247773021.01001</v>
          </cell>
          <cell r="C33">
            <v>0</v>
          </cell>
          <cell r="D33">
            <v>0</v>
          </cell>
          <cell r="E33">
            <v>0</v>
          </cell>
          <cell r="F33">
            <v>0</v>
          </cell>
          <cell r="G33">
            <v>0</v>
          </cell>
          <cell r="H33">
            <v>15142556131.440001</v>
          </cell>
          <cell r="I33">
            <v>-23072.240000000002</v>
          </cell>
          <cell r="J33">
            <v>15142533059.200001</v>
          </cell>
          <cell r="K33">
            <v>-694425.45</v>
          </cell>
          <cell r="L33">
            <v>-147105934387.26001</v>
          </cell>
        </row>
        <row r="34">
          <cell r="A34" t="str">
            <v>Benchmark Notes &amp; Bonds</v>
          </cell>
          <cell r="B34">
            <v>-81739666000</v>
          </cell>
          <cell r="C34">
            <v>0</v>
          </cell>
          <cell r="D34">
            <v>0</v>
          </cell>
          <cell r="E34">
            <v>0</v>
          </cell>
          <cell r="F34">
            <v>0</v>
          </cell>
          <cell r="G34">
            <v>0</v>
          </cell>
          <cell r="H34">
            <v>0</v>
          </cell>
          <cell r="I34">
            <v>0</v>
          </cell>
          <cell r="J34">
            <v>0</v>
          </cell>
          <cell r="K34">
            <v>0</v>
          </cell>
          <cell r="L34">
            <v>-81739666000</v>
          </cell>
        </row>
        <row r="35">
          <cell r="A35" t="str">
            <v>Benchmark Notes &amp; Bonds</v>
          </cell>
          <cell r="B35">
            <v>-81739666000</v>
          </cell>
          <cell r="C35">
            <v>0</v>
          </cell>
          <cell r="D35">
            <v>0</v>
          </cell>
          <cell r="E35">
            <v>0</v>
          </cell>
          <cell r="F35">
            <v>0</v>
          </cell>
          <cell r="G35">
            <v>0</v>
          </cell>
          <cell r="H35">
            <v>0</v>
          </cell>
          <cell r="I35">
            <v>0</v>
          </cell>
          <cell r="J35">
            <v>0</v>
          </cell>
          <cell r="K35">
            <v>0</v>
          </cell>
          <cell r="L35">
            <v>-81739666000</v>
          </cell>
        </row>
        <row r="36">
          <cell r="A36" t="str">
            <v>Callable Fixed Rate MTN</v>
          </cell>
          <cell r="B36">
            <v>-37153790000</v>
          </cell>
          <cell r="C36">
            <v>0</v>
          </cell>
          <cell r="D36">
            <v>0</v>
          </cell>
          <cell r="E36">
            <v>0</v>
          </cell>
          <cell r="F36">
            <v>0</v>
          </cell>
          <cell r="G36">
            <v>0</v>
          </cell>
          <cell r="H36">
            <v>0</v>
          </cell>
          <cell r="I36">
            <v>0</v>
          </cell>
          <cell r="J36">
            <v>0</v>
          </cell>
          <cell r="K36">
            <v>0</v>
          </cell>
          <cell r="L36">
            <v>-37153790000</v>
          </cell>
        </row>
        <row r="37">
          <cell r="A37" t="str">
            <v>Callable Fixed Rate MTN</v>
          </cell>
          <cell r="B37">
            <v>-37153790000</v>
          </cell>
          <cell r="C37">
            <v>0</v>
          </cell>
          <cell r="D37">
            <v>0</v>
          </cell>
          <cell r="E37">
            <v>0</v>
          </cell>
          <cell r="F37">
            <v>0</v>
          </cell>
          <cell r="G37">
            <v>0</v>
          </cell>
          <cell r="H37">
            <v>0</v>
          </cell>
          <cell r="I37">
            <v>0</v>
          </cell>
          <cell r="J37">
            <v>0</v>
          </cell>
          <cell r="K37">
            <v>0</v>
          </cell>
          <cell r="L37">
            <v>-37153790000</v>
          </cell>
        </row>
        <row r="38">
          <cell r="A38" t="str">
            <v>LT - CAS</v>
          </cell>
          <cell r="B38">
            <v>-8453516178.4099998</v>
          </cell>
          <cell r="C38">
            <v>0</v>
          </cell>
          <cell r="D38">
            <v>0</v>
          </cell>
          <cell r="E38">
            <v>0</v>
          </cell>
          <cell r="F38">
            <v>0</v>
          </cell>
          <cell r="G38">
            <v>0</v>
          </cell>
          <cell r="H38">
            <v>227556131.44</v>
          </cell>
          <cell r="I38">
            <v>-23072.240000000002</v>
          </cell>
          <cell r="J38">
            <v>227533059.19999999</v>
          </cell>
          <cell r="K38">
            <v>0</v>
          </cell>
          <cell r="L38">
            <v>-8225983119.21</v>
          </cell>
        </row>
        <row r="39">
          <cell r="A39" t="str">
            <v>LT - CAS</v>
          </cell>
          <cell r="B39">
            <v>-8453516178.4099998</v>
          </cell>
          <cell r="C39">
            <v>0</v>
          </cell>
          <cell r="D39">
            <v>0</v>
          </cell>
          <cell r="E39">
            <v>0</v>
          </cell>
          <cell r="F39">
            <v>0</v>
          </cell>
          <cell r="G39">
            <v>0</v>
          </cell>
          <cell r="H39">
            <v>227556131.44</v>
          </cell>
          <cell r="I39">
            <v>-23072.240000000002</v>
          </cell>
          <cell r="J39">
            <v>227533059.19999999</v>
          </cell>
          <cell r="K39">
            <v>0</v>
          </cell>
          <cell r="L39">
            <v>-8225983119.21</v>
          </cell>
        </row>
        <row r="40">
          <cell r="A40" t="str">
            <v>LT - FX Debt</v>
          </cell>
          <cell r="B40">
            <v>-311846516.60000002</v>
          </cell>
          <cell r="C40">
            <v>0</v>
          </cell>
          <cell r="D40">
            <v>0</v>
          </cell>
          <cell r="E40">
            <v>0</v>
          </cell>
          <cell r="F40">
            <v>0</v>
          </cell>
          <cell r="G40">
            <v>0</v>
          </cell>
          <cell r="H40">
            <v>0</v>
          </cell>
          <cell r="I40">
            <v>0</v>
          </cell>
          <cell r="J40">
            <v>0</v>
          </cell>
          <cell r="K40">
            <v>-694425.45</v>
          </cell>
          <cell r="L40">
            <v>-312540942.05000001</v>
          </cell>
        </row>
        <row r="41">
          <cell r="A41" t="str">
            <v>LT - FX Debt</v>
          </cell>
          <cell r="B41">
            <v>-311846516.60000002</v>
          </cell>
          <cell r="C41">
            <v>0</v>
          </cell>
          <cell r="D41">
            <v>0</v>
          </cell>
          <cell r="E41">
            <v>0</v>
          </cell>
          <cell r="F41">
            <v>0</v>
          </cell>
          <cell r="G41">
            <v>0</v>
          </cell>
          <cell r="H41">
            <v>0</v>
          </cell>
          <cell r="I41">
            <v>0</v>
          </cell>
          <cell r="J41">
            <v>0</v>
          </cell>
          <cell r="K41">
            <v>-694425.45</v>
          </cell>
          <cell r="L41">
            <v>-312540942.05000001</v>
          </cell>
        </row>
        <row r="42">
          <cell r="A42" t="str">
            <v>Non-Callable Fixed Rate MTN</v>
          </cell>
          <cell r="B42">
            <v>-7771954326</v>
          </cell>
          <cell r="C42">
            <v>0</v>
          </cell>
          <cell r="D42">
            <v>0</v>
          </cell>
          <cell r="E42">
            <v>0</v>
          </cell>
          <cell r="F42">
            <v>0</v>
          </cell>
          <cell r="G42">
            <v>0</v>
          </cell>
          <cell r="H42">
            <v>140000000</v>
          </cell>
          <cell r="I42">
            <v>0</v>
          </cell>
          <cell r="J42">
            <v>140000000</v>
          </cell>
          <cell r="K42">
            <v>0</v>
          </cell>
          <cell r="L42">
            <v>-7631954326</v>
          </cell>
        </row>
        <row r="43">
          <cell r="A43" t="str">
            <v>Non-Callable Fixed Rate MTN</v>
          </cell>
          <cell r="B43">
            <v>-7771954326</v>
          </cell>
          <cell r="C43">
            <v>0</v>
          </cell>
          <cell r="D43">
            <v>0</v>
          </cell>
          <cell r="E43">
            <v>0</v>
          </cell>
          <cell r="F43">
            <v>0</v>
          </cell>
          <cell r="G43">
            <v>0</v>
          </cell>
          <cell r="H43">
            <v>140000000</v>
          </cell>
          <cell r="I43">
            <v>0</v>
          </cell>
          <cell r="J43">
            <v>140000000</v>
          </cell>
          <cell r="K43">
            <v>0</v>
          </cell>
          <cell r="L43">
            <v>-7631954326</v>
          </cell>
        </row>
        <row r="44">
          <cell r="A44" t="str">
            <v>Non-Callable Floating Rate MTN</v>
          </cell>
          <cell r="B44">
            <v>-26817000000</v>
          </cell>
          <cell r="C44">
            <v>0</v>
          </cell>
          <cell r="D44">
            <v>0</v>
          </cell>
          <cell r="E44">
            <v>0</v>
          </cell>
          <cell r="F44">
            <v>0</v>
          </cell>
          <cell r="G44">
            <v>0</v>
          </cell>
          <cell r="H44">
            <v>14775000000</v>
          </cell>
          <cell r="I44">
            <v>0</v>
          </cell>
          <cell r="J44">
            <v>14775000000</v>
          </cell>
          <cell r="K44">
            <v>0</v>
          </cell>
          <cell r="L44">
            <v>-12042000000</v>
          </cell>
        </row>
        <row r="45">
          <cell r="A45" t="str">
            <v>Non-Callable Floating Rate MTN</v>
          </cell>
          <cell r="B45">
            <v>-26817000000</v>
          </cell>
          <cell r="C45">
            <v>0</v>
          </cell>
          <cell r="D45">
            <v>0</v>
          </cell>
          <cell r="E45">
            <v>0</v>
          </cell>
          <cell r="F45">
            <v>0</v>
          </cell>
          <cell r="G45">
            <v>0</v>
          </cell>
          <cell r="H45">
            <v>14775000000</v>
          </cell>
          <cell r="I45">
            <v>0</v>
          </cell>
          <cell r="J45">
            <v>14775000000</v>
          </cell>
          <cell r="K45">
            <v>0</v>
          </cell>
          <cell r="L45">
            <v>-12042000000</v>
          </cell>
        </row>
      </sheetData>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GL Tie out"/>
      <sheetName val=" Funding Summary"/>
      <sheetName val="Summary"/>
      <sheetName val="CUSIP Details"/>
    </sheetNames>
    <sheetDataSet>
      <sheetData sheetId="0"/>
      <sheetData sheetId="1"/>
      <sheetData sheetId="2"/>
      <sheetData sheetId="3">
        <row r="5">
          <cell r="A5" t="str">
            <v>Enter Accounting Framework:</v>
          </cell>
          <cell r="B5" t="str">
            <v>GAAP Accounting</v>
          </cell>
        </row>
        <row r="7">
          <cell r="A7" t="str">
            <v>Date and Time: 07/02/2022 03:04 PM</v>
          </cell>
        </row>
        <row r="8">
          <cell r="A8" t="str">
            <v>Report Environment: PROD</v>
          </cell>
        </row>
        <row r="9">
          <cell r="A9" t="str">
            <v>Report Description: This report shows Debt redemption value (UPB) activity, walking forward from beginning balance to ending balance. All Debt is represented in USD Equivalent only</v>
          </cell>
        </row>
        <row r="10">
          <cell r="A10" t="str">
            <v>Term Type</v>
          </cell>
          <cell r="B10" t="str">
            <v>Beginning Balance</v>
          </cell>
          <cell r="C10" t="str">
            <v>New Issues (-)</v>
          </cell>
          <cell r="D10" t="str">
            <v>Re-opens (-)</v>
          </cell>
          <cell r="E10" t="str">
            <v>Total Issuances (-)</v>
          </cell>
          <cell r="F10" t="str">
            <v>Repurchases (+)</v>
          </cell>
          <cell r="G10" t="str">
            <v>Calls / Puts (+)</v>
          </cell>
          <cell r="H10" t="str">
            <v>Scheduled Paydown / Maturites (+)</v>
          </cell>
          <cell r="I10" t="str">
            <v>Non-Cash Principal Adjustment</v>
          </cell>
          <cell r="J10" t="str">
            <v>Total Redemptions (+)</v>
          </cell>
          <cell r="K10" t="str">
            <v>FX Translation Gain / (Loss)</v>
          </cell>
          <cell r="L10" t="str">
            <v>Report Calculated Ending Balance</v>
          </cell>
        </row>
        <row r="11">
          <cell r="A11" t="str">
            <v>Total Fed Funds Purchased &amp; Repo</v>
          </cell>
          <cell r="B11">
            <v>0</v>
          </cell>
          <cell r="C11">
            <v>-4481750000</v>
          </cell>
          <cell r="D11">
            <v>0</v>
          </cell>
          <cell r="E11">
            <v>-4481750000</v>
          </cell>
          <cell r="F11">
            <v>0</v>
          </cell>
          <cell r="G11">
            <v>0</v>
          </cell>
          <cell r="H11">
            <v>3015500000</v>
          </cell>
          <cell r="I11">
            <v>0</v>
          </cell>
          <cell r="J11">
            <v>3015500000</v>
          </cell>
          <cell r="K11">
            <v>0</v>
          </cell>
          <cell r="L11">
            <v>-1466250000</v>
          </cell>
        </row>
        <row r="12">
          <cell r="A12" t="str">
            <v>Non-Fair Value Option</v>
          </cell>
          <cell r="B12">
            <v>0</v>
          </cell>
          <cell r="C12">
            <v>-4481750000</v>
          </cell>
          <cell r="D12">
            <v>0</v>
          </cell>
          <cell r="E12">
            <v>-4481750000</v>
          </cell>
          <cell r="F12">
            <v>0</v>
          </cell>
          <cell r="G12">
            <v>0</v>
          </cell>
          <cell r="H12">
            <v>3015500000</v>
          </cell>
          <cell r="I12">
            <v>0</v>
          </cell>
          <cell r="J12">
            <v>3015500000</v>
          </cell>
          <cell r="K12">
            <v>0</v>
          </cell>
          <cell r="L12">
            <v>-1466250000</v>
          </cell>
        </row>
        <row r="13">
          <cell r="A13" t="str">
            <v>NA</v>
          </cell>
          <cell r="B13">
            <v>0</v>
          </cell>
          <cell r="C13">
            <v>-4481750000</v>
          </cell>
          <cell r="D13">
            <v>0</v>
          </cell>
          <cell r="E13">
            <v>-4481750000</v>
          </cell>
          <cell r="F13">
            <v>0</v>
          </cell>
          <cell r="G13">
            <v>0</v>
          </cell>
          <cell r="H13">
            <v>3015500000</v>
          </cell>
          <cell r="I13">
            <v>0</v>
          </cell>
          <cell r="J13">
            <v>3015500000</v>
          </cell>
          <cell r="K13">
            <v>0</v>
          </cell>
          <cell r="L13">
            <v>-1466250000</v>
          </cell>
        </row>
        <row r="14">
          <cell r="A14" t="str">
            <v>NA</v>
          </cell>
          <cell r="B14">
            <v>0</v>
          </cell>
          <cell r="C14">
            <v>-4481750000</v>
          </cell>
          <cell r="D14">
            <v>0</v>
          </cell>
          <cell r="E14">
            <v>-4481750000</v>
          </cell>
          <cell r="F14">
            <v>0</v>
          </cell>
          <cell r="G14">
            <v>0</v>
          </cell>
          <cell r="H14">
            <v>3015500000</v>
          </cell>
          <cell r="I14">
            <v>0</v>
          </cell>
          <cell r="J14">
            <v>3015500000</v>
          </cell>
          <cell r="K14">
            <v>0</v>
          </cell>
          <cell r="L14">
            <v>-1466250000</v>
          </cell>
        </row>
        <row r="15">
          <cell r="A15" t="str">
            <v>DVP Repo</v>
          </cell>
          <cell r="B15">
            <v>0</v>
          </cell>
          <cell r="C15">
            <v>-4481750000</v>
          </cell>
          <cell r="D15">
            <v>0</v>
          </cell>
          <cell r="E15">
            <v>-4481750000</v>
          </cell>
          <cell r="F15">
            <v>0</v>
          </cell>
          <cell r="G15">
            <v>0</v>
          </cell>
          <cell r="H15">
            <v>3015500000</v>
          </cell>
          <cell r="I15">
            <v>0</v>
          </cell>
          <cell r="J15">
            <v>3015500000</v>
          </cell>
          <cell r="K15">
            <v>0</v>
          </cell>
          <cell r="L15">
            <v>-1466250000</v>
          </cell>
        </row>
        <row r="16">
          <cell r="A16" t="str">
            <v>DVP Repo</v>
          </cell>
          <cell r="B16">
            <v>0</v>
          </cell>
          <cell r="C16">
            <v>-4481750000</v>
          </cell>
          <cell r="D16">
            <v>0</v>
          </cell>
          <cell r="E16">
            <v>-4481750000</v>
          </cell>
          <cell r="F16">
            <v>0</v>
          </cell>
          <cell r="G16">
            <v>0</v>
          </cell>
          <cell r="H16">
            <v>3015500000</v>
          </cell>
          <cell r="I16">
            <v>0</v>
          </cell>
          <cell r="J16">
            <v>3015500000</v>
          </cell>
          <cell r="K16">
            <v>0</v>
          </cell>
          <cell r="L16">
            <v>-1466250000</v>
          </cell>
        </row>
        <row r="17">
          <cell r="A17" t="str">
            <v>Total Short Term Funding Term</v>
          </cell>
          <cell r="B17">
            <v>-2545000000</v>
          </cell>
          <cell r="C17">
            <v>-6300000000</v>
          </cell>
          <cell r="D17">
            <v>0</v>
          </cell>
          <cell r="E17">
            <v>-6300000000</v>
          </cell>
          <cell r="F17">
            <v>0</v>
          </cell>
          <cell r="G17">
            <v>0</v>
          </cell>
          <cell r="H17">
            <v>1250000000</v>
          </cell>
          <cell r="I17">
            <v>0</v>
          </cell>
          <cell r="J17">
            <v>1250000000</v>
          </cell>
          <cell r="K17">
            <v>0</v>
          </cell>
          <cell r="L17">
            <v>-7595000000</v>
          </cell>
        </row>
        <row r="18">
          <cell r="A18" t="str">
            <v>Non-Fair Value Option</v>
          </cell>
          <cell r="B18">
            <v>-2545000000</v>
          </cell>
          <cell r="C18">
            <v>-6300000000</v>
          </cell>
          <cell r="D18">
            <v>0</v>
          </cell>
          <cell r="E18">
            <v>-6300000000</v>
          </cell>
          <cell r="F18">
            <v>0</v>
          </cell>
          <cell r="G18">
            <v>0</v>
          </cell>
          <cell r="H18">
            <v>1250000000</v>
          </cell>
          <cell r="I18">
            <v>0</v>
          </cell>
          <cell r="J18">
            <v>1250000000</v>
          </cell>
          <cell r="K18">
            <v>0</v>
          </cell>
          <cell r="L18">
            <v>-7595000000</v>
          </cell>
        </row>
        <row r="19">
          <cell r="A19" t="str">
            <v>NA</v>
          </cell>
          <cell r="B19">
            <v>-2545000000</v>
          </cell>
          <cell r="C19">
            <v>-6300000000</v>
          </cell>
          <cell r="D19">
            <v>0</v>
          </cell>
          <cell r="E19">
            <v>-6300000000</v>
          </cell>
          <cell r="F19">
            <v>0</v>
          </cell>
          <cell r="G19">
            <v>0</v>
          </cell>
          <cell r="H19">
            <v>1250000000</v>
          </cell>
          <cell r="I19">
            <v>0</v>
          </cell>
          <cell r="J19">
            <v>1250000000</v>
          </cell>
          <cell r="K19">
            <v>0</v>
          </cell>
          <cell r="L19">
            <v>-7595000000</v>
          </cell>
        </row>
        <row r="20">
          <cell r="A20" t="str">
            <v>NA</v>
          </cell>
          <cell r="B20">
            <v>-2545000000</v>
          </cell>
          <cell r="C20">
            <v>-6300000000</v>
          </cell>
          <cell r="D20">
            <v>0</v>
          </cell>
          <cell r="E20">
            <v>-6300000000</v>
          </cell>
          <cell r="F20">
            <v>0</v>
          </cell>
          <cell r="G20">
            <v>0</v>
          </cell>
          <cell r="H20">
            <v>1250000000</v>
          </cell>
          <cell r="I20">
            <v>0</v>
          </cell>
          <cell r="J20">
            <v>1250000000</v>
          </cell>
          <cell r="K20">
            <v>0</v>
          </cell>
          <cell r="L20">
            <v>-7595000000</v>
          </cell>
        </row>
        <row r="21">
          <cell r="A21" t="str">
            <v>ST-Debt</v>
          </cell>
          <cell r="B21">
            <v>-2545000000</v>
          </cell>
          <cell r="C21">
            <v>-6300000000</v>
          </cell>
          <cell r="D21">
            <v>0</v>
          </cell>
          <cell r="E21">
            <v>-6300000000</v>
          </cell>
          <cell r="F21">
            <v>0</v>
          </cell>
          <cell r="G21">
            <v>0</v>
          </cell>
          <cell r="H21">
            <v>1250000000</v>
          </cell>
          <cell r="I21">
            <v>0</v>
          </cell>
          <cell r="J21">
            <v>1250000000</v>
          </cell>
          <cell r="K21">
            <v>0</v>
          </cell>
          <cell r="L21">
            <v>-7595000000</v>
          </cell>
        </row>
        <row r="22">
          <cell r="A22" t="str">
            <v>ST-Debt</v>
          </cell>
          <cell r="B22">
            <v>-2545000000</v>
          </cell>
          <cell r="C22">
            <v>-6300000000</v>
          </cell>
          <cell r="D22">
            <v>0</v>
          </cell>
          <cell r="E22">
            <v>-6300000000</v>
          </cell>
          <cell r="F22">
            <v>0</v>
          </cell>
          <cell r="G22">
            <v>0</v>
          </cell>
          <cell r="H22">
            <v>1250000000</v>
          </cell>
          <cell r="I22">
            <v>0</v>
          </cell>
          <cell r="J22">
            <v>1250000000</v>
          </cell>
          <cell r="K22">
            <v>0</v>
          </cell>
          <cell r="L22">
            <v>-7595000000</v>
          </cell>
        </row>
        <row r="23">
          <cell r="A23" t="str">
            <v>Total Long Term Funding Debt</v>
          </cell>
          <cell r="B23">
            <v>-148984157181.67999</v>
          </cell>
          <cell r="C23">
            <v>0</v>
          </cell>
          <cell r="D23">
            <v>0</v>
          </cell>
          <cell r="E23">
            <v>0</v>
          </cell>
          <cell r="F23">
            <v>0</v>
          </cell>
          <cell r="G23">
            <v>0</v>
          </cell>
          <cell r="H23">
            <v>8252700756.1099997</v>
          </cell>
          <cell r="I23">
            <v>69204.789999999994</v>
          </cell>
          <cell r="J23">
            <v>8252769960.8999996</v>
          </cell>
          <cell r="K23">
            <v>10515581.85</v>
          </cell>
          <cell r="L23">
            <v>-140720871638.92999</v>
          </cell>
        </row>
        <row r="24">
          <cell r="A24" t="str">
            <v>Fair Value Option</v>
          </cell>
          <cell r="B24">
            <v>-1878222794.4200001</v>
          </cell>
          <cell r="C24">
            <v>0</v>
          </cell>
          <cell r="D24">
            <v>0</v>
          </cell>
          <cell r="E24">
            <v>0</v>
          </cell>
          <cell r="F24">
            <v>0</v>
          </cell>
          <cell r="G24">
            <v>0</v>
          </cell>
          <cell r="H24">
            <v>45141963.43</v>
          </cell>
          <cell r="I24">
            <v>0</v>
          </cell>
          <cell r="J24">
            <v>45141963.43</v>
          </cell>
          <cell r="K24">
            <v>0</v>
          </cell>
          <cell r="L24">
            <v>-1833080830.99</v>
          </cell>
        </row>
        <row r="25">
          <cell r="A25" t="str">
            <v>NA</v>
          </cell>
          <cell r="B25">
            <v>-1878222794.4200001</v>
          </cell>
          <cell r="C25">
            <v>0</v>
          </cell>
          <cell r="D25">
            <v>0</v>
          </cell>
          <cell r="E25">
            <v>0</v>
          </cell>
          <cell r="F25">
            <v>0</v>
          </cell>
          <cell r="G25">
            <v>0</v>
          </cell>
          <cell r="H25">
            <v>45141963.43</v>
          </cell>
          <cell r="I25">
            <v>0</v>
          </cell>
          <cell r="J25">
            <v>45141963.43</v>
          </cell>
          <cell r="K25">
            <v>0</v>
          </cell>
          <cell r="L25">
            <v>-1833080830.99</v>
          </cell>
        </row>
        <row r="26">
          <cell r="A26" t="str">
            <v>NA</v>
          </cell>
          <cell r="B26">
            <v>-1878222794.4200001</v>
          </cell>
          <cell r="C26">
            <v>0</v>
          </cell>
          <cell r="D26">
            <v>0</v>
          </cell>
          <cell r="E26">
            <v>0</v>
          </cell>
          <cell r="F26">
            <v>0</v>
          </cell>
          <cell r="G26">
            <v>0</v>
          </cell>
          <cell r="H26">
            <v>45141963.43</v>
          </cell>
          <cell r="I26">
            <v>0</v>
          </cell>
          <cell r="J26">
            <v>45141963.43</v>
          </cell>
          <cell r="K26">
            <v>0</v>
          </cell>
          <cell r="L26">
            <v>-1833080830.99</v>
          </cell>
        </row>
        <row r="27">
          <cell r="A27" t="str">
            <v>LT - CAS</v>
          </cell>
          <cell r="B27">
            <v>-1628222794.4200001</v>
          </cell>
          <cell r="C27">
            <v>0</v>
          </cell>
          <cell r="D27">
            <v>0</v>
          </cell>
          <cell r="E27">
            <v>0</v>
          </cell>
          <cell r="F27">
            <v>0</v>
          </cell>
          <cell r="G27">
            <v>0</v>
          </cell>
          <cell r="H27">
            <v>45141963.43</v>
          </cell>
          <cell r="I27">
            <v>0</v>
          </cell>
          <cell r="J27">
            <v>45141963.43</v>
          </cell>
          <cell r="K27">
            <v>0</v>
          </cell>
          <cell r="L27">
            <v>-1583080830.99</v>
          </cell>
        </row>
        <row r="28">
          <cell r="A28" t="str">
            <v>LT - CAS</v>
          </cell>
          <cell r="B28">
            <v>-1628222794.4200001</v>
          </cell>
          <cell r="C28">
            <v>0</v>
          </cell>
          <cell r="D28">
            <v>0</v>
          </cell>
          <cell r="E28">
            <v>0</v>
          </cell>
          <cell r="F28">
            <v>0</v>
          </cell>
          <cell r="G28">
            <v>0</v>
          </cell>
          <cell r="H28">
            <v>45141963.43</v>
          </cell>
          <cell r="I28">
            <v>0</v>
          </cell>
          <cell r="J28">
            <v>45141963.43</v>
          </cell>
          <cell r="K28">
            <v>0</v>
          </cell>
          <cell r="L28">
            <v>-1583080830.99</v>
          </cell>
        </row>
        <row r="29">
          <cell r="A29" t="str">
            <v>Non-Callable Floating Rate MTN</v>
          </cell>
          <cell r="B29">
            <v>-250000000</v>
          </cell>
          <cell r="C29">
            <v>0</v>
          </cell>
          <cell r="D29">
            <v>0</v>
          </cell>
          <cell r="E29">
            <v>0</v>
          </cell>
          <cell r="F29">
            <v>0</v>
          </cell>
          <cell r="G29">
            <v>0</v>
          </cell>
          <cell r="H29">
            <v>0</v>
          </cell>
          <cell r="I29">
            <v>0</v>
          </cell>
          <cell r="J29">
            <v>0</v>
          </cell>
          <cell r="K29">
            <v>0</v>
          </cell>
          <cell r="L29">
            <v>-250000000</v>
          </cell>
        </row>
        <row r="30">
          <cell r="A30" t="str">
            <v>Non-Callable Floating Rate MTN</v>
          </cell>
          <cell r="B30">
            <v>-250000000</v>
          </cell>
          <cell r="C30">
            <v>0</v>
          </cell>
          <cell r="D30">
            <v>0</v>
          </cell>
          <cell r="E30">
            <v>0</v>
          </cell>
          <cell r="F30">
            <v>0</v>
          </cell>
          <cell r="G30">
            <v>0</v>
          </cell>
          <cell r="H30">
            <v>0</v>
          </cell>
          <cell r="I30">
            <v>0</v>
          </cell>
          <cell r="J30">
            <v>0</v>
          </cell>
          <cell r="K30">
            <v>0</v>
          </cell>
          <cell r="L30">
            <v>-250000000</v>
          </cell>
        </row>
        <row r="31">
          <cell r="A31" t="str">
            <v>Non-Fair Value Option</v>
          </cell>
          <cell r="B31">
            <v>-147105934387.26001</v>
          </cell>
          <cell r="C31">
            <v>0</v>
          </cell>
          <cell r="D31">
            <v>0</v>
          </cell>
          <cell r="E31">
            <v>0</v>
          </cell>
          <cell r="F31">
            <v>0</v>
          </cell>
          <cell r="G31">
            <v>0</v>
          </cell>
          <cell r="H31">
            <v>8207558792.6800003</v>
          </cell>
          <cell r="I31">
            <v>69204.789999999994</v>
          </cell>
          <cell r="J31">
            <v>8207627997.4700003</v>
          </cell>
          <cell r="K31">
            <v>10515581.85</v>
          </cell>
          <cell r="L31">
            <v>-138887790807.94</v>
          </cell>
        </row>
        <row r="32">
          <cell r="A32" t="str">
            <v>NA</v>
          </cell>
          <cell r="B32">
            <v>-147105934387.26001</v>
          </cell>
          <cell r="C32">
            <v>0</v>
          </cell>
          <cell r="D32">
            <v>0</v>
          </cell>
          <cell r="E32">
            <v>0</v>
          </cell>
          <cell r="F32">
            <v>0</v>
          </cell>
          <cell r="G32">
            <v>0</v>
          </cell>
          <cell r="H32">
            <v>8207558792.6800003</v>
          </cell>
          <cell r="I32">
            <v>69204.789999999994</v>
          </cell>
          <cell r="J32">
            <v>8207627997.4700003</v>
          </cell>
          <cell r="K32">
            <v>10515581.85</v>
          </cell>
          <cell r="L32">
            <v>-138887790807.94</v>
          </cell>
        </row>
        <row r="33">
          <cell r="A33" t="str">
            <v>NA</v>
          </cell>
          <cell r="B33">
            <v>-147105934387.26001</v>
          </cell>
          <cell r="C33">
            <v>0</v>
          </cell>
          <cell r="D33">
            <v>0</v>
          </cell>
          <cell r="E33">
            <v>0</v>
          </cell>
          <cell r="F33">
            <v>0</v>
          </cell>
          <cell r="G33">
            <v>0</v>
          </cell>
          <cell r="H33">
            <v>8207558792.6800003</v>
          </cell>
          <cell r="I33">
            <v>69204.789999999994</v>
          </cell>
          <cell r="J33">
            <v>8207627997.4700003</v>
          </cell>
          <cell r="K33">
            <v>10515581.85</v>
          </cell>
          <cell r="L33">
            <v>-138887790807.94</v>
          </cell>
        </row>
        <row r="34">
          <cell r="A34" t="str">
            <v>Benchmark Notes &amp; Bonds</v>
          </cell>
          <cell r="B34">
            <v>-81739666000</v>
          </cell>
          <cell r="C34">
            <v>0</v>
          </cell>
          <cell r="D34">
            <v>0</v>
          </cell>
          <cell r="E34">
            <v>0</v>
          </cell>
          <cell r="F34">
            <v>0</v>
          </cell>
          <cell r="G34">
            <v>0</v>
          </cell>
          <cell r="H34">
            <v>0</v>
          </cell>
          <cell r="I34">
            <v>0</v>
          </cell>
          <cell r="J34">
            <v>0</v>
          </cell>
          <cell r="K34">
            <v>0</v>
          </cell>
          <cell r="L34">
            <v>-81739666000</v>
          </cell>
        </row>
        <row r="35">
          <cell r="A35" t="str">
            <v>Benchmark Notes &amp; Bonds</v>
          </cell>
          <cell r="B35">
            <v>-81739666000</v>
          </cell>
          <cell r="C35">
            <v>0</v>
          </cell>
          <cell r="D35">
            <v>0</v>
          </cell>
          <cell r="E35">
            <v>0</v>
          </cell>
          <cell r="F35">
            <v>0</v>
          </cell>
          <cell r="G35">
            <v>0</v>
          </cell>
          <cell r="H35">
            <v>0</v>
          </cell>
          <cell r="I35">
            <v>0</v>
          </cell>
          <cell r="J35">
            <v>0</v>
          </cell>
          <cell r="K35">
            <v>0</v>
          </cell>
          <cell r="L35">
            <v>-81739666000</v>
          </cell>
        </row>
        <row r="36">
          <cell r="A36" t="str">
            <v>Callable Fixed Rate MTN</v>
          </cell>
          <cell r="B36">
            <v>-37153790000</v>
          </cell>
          <cell r="C36">
            <v>0</v>
          </cell>
          <cell r="D36">
            <v>0</v>
          </cell>
          <cell r="E36">
            <v>0</v>
          </cell>
          <cell r="F36">
            <v>0</v>
          </cell>
          <cell r="G36">
            <v>0</v>
          </cell>
          <cell r="H36">
            <v>0</v>
          </cell>
          <cell r="I36">
            <v>0</v>
          </cell>
          <cell r="J36">
            <v>0</v>
          </cell>
          <cell r="K36">
            <v>0</v>
          </cell>
          <cell r="L36">
            <v>-37153790000</v>
          </cell>
        </row>
        <row r="37">
          <cell r="A37" t="str">
            <v>Callable Fixed Rate MTN</v>
          </cell>
          <cell r="B37">
            <v>-37153790000</v>
          </cell>
          <cell r="C37">
            <v>0</v>
          </cell>
          <cell r="D37">
            <v>0</v>
          </cell>
          <cell r="E37">
            <v>0</v>
          </cell>
          <cell r="F37">
            <v>0</v>
          </cell>
          <cell r="G37">
            <v>0</v>
          </cell>
          <cell r="H37">
            <v>0</v>
          </cell>
          <cell r="I37">
            <v>0</v>
          </cell>
          <cell r="J37">
            <v>0</v>
          </cell>
          <cell r="K37">
            <v>0</v>
          </cell>
          <cell r="L37">
            <v>-37153790000</v>
          </cell>
        </row>
        <row r="38">
          <cell r="A38" t="str">
            <v>LT - CAS</v>
          </cell>
          <cell r="B38">
            <v>-8225983119.21</v>
          </cell>
          <cell r="C38">
            <v>0</v>
          </cell>
          <cell r="D38">
            <v>0</v>
          </cell>
          <cell r="E38">
            <v>0</v>
          </cell>
          <cell r="F38">
            <v>0</v>
          </cell>
          <cell r="G38">
            <v>0</v>
          </cell>
          <cell r="H38">
            <v>190558792.68000001</v>
          </cell>
          <cell r="I38">
            <v>69204.789999999994</v>
          </cell>
          <cell r="J38">
            <v>190627997.47</v>
          </cell>
          <cell r="K38">
            <v>0</v>
          </cell>
          <cell r="L38">
            <v>-8035355121.7399998</v>
          </cell>
        </row>
        <row r="39">
          <cell r="A39" t="str">
            <v>LT - CAS</v>
          </cell>
          <cell r="B39">
            <v>-8225983119.21</v>
          </cell>
          <cell r="C39">
            <v>0</v>
          </cell>
          <cell r="D39">
            <v>0</v>
          </cell>
          <cell r="E39">
            <v>0</v>
          </cell>
          <cell r="F39">
            <v>0</v>
          </cell>
          <cell r="G39">
            <v>0</v>
          </cell>
          <cell r="H39">
            <v>190558792.68000001</v>
          </cell>
          <cell r="I39">
            <v>69204.789999999994</v>
          </cell>
          <cell r="J39">
            <v>190627997.47</v>
          </cell>
          <cell r="K39">
            <v>0</v>
          </cell>
          <cell r="L39">
            <v>-8035355121.7399998</v>
          </cell>
        </row>
        <row r="40">
          <cell r="A40" t="str">
            <v>LT - FX Debt</v>
          </cell>
          <cell r="B40">
            <v>-312540942.05000001</v>
          </cell>
          <cell r="C40">
            <v>0</v>
          </cell>
          <cell r="D40">
            <v>0</v>
          </cell>
          <cell r="E40">
            <v>0</v>
          </cell>
          <cell r="F40">
            <v>0</v>
          </cell>
          <cell r="G40">
            <v>0</v>
          </cell>
          <cell r="H40">
            <v>0</v>
          </cell>
          <cell r="I40">
            <v>0</v>
          </cell>
          <cell r="J40">
            <v>0</v>
          </cell>
          <cell r="K40">
            <v>10515581.85</v>
          </cell>
          <cell r="L40">
            <v>-302025360.19999999</v>
          </cell>
        </row>
        <row r="41">
          <cell r="A41" t="str">
            <v>LT - FX Debt</v>
          </cell>
          <cell r="B41">
            <v>-312540942.05000001</v>
          </cell>
          <cell r="C41">
            <v>0</v>
          </cell>
          <cell r="D41">
            <v>0</v>
          </cell>
          <cell r="E41">
            <v>0</v>
          </cell>
          <cell r="F41">
            <v>0</v>
          </cell>
          <cell r="G41">
            <v>0</v>
          </cell>
          <cell r="H41">
            <v>0</v>
          </cell>
          <cell r="I41">
            <v>0</v>
          </cell>
          <cell r="J41">
            <v>0</v>
          </cell>
          <cell r="K41">
            <v>10515581.85</v>
          </cell>
          <cell r="L41">
            <v>-302025360.19999999</v>
          </cell>
        </row>
        <row r="42">
          <cell r="A42" t="str">
            <v>Non-Callable Fixed Rate MTN</v>
          </cell>
          <cell r="B42">
            <v>-7631954326</v>
          </cell>
          <cell r="C42">
            <v>0</v>
          </cell>
          <cell r="D42">
            <v>0</v>
          </cell>
          <cell r="E42">
            <v>0</v>
          </cell>
          <cell r="F42">
            <v>0</v>
          </cell>
          <cell r="G42">
            <v>0</v>
          </cell>
          <cell r="H42">
            <v>0</v>
          </cell>
          <cell r="I42">
            <v>0</v>
          </cell>
          <cell r="J42">
            <v>0</v>
          </cell>
          <cell r="K42">
            <v>0</v>
          </cell>
          <cell r="L42">
            <v>-7631954326</v>
          </cell>
        </row>
        <row r="43">
          <cell r="A43" t="str">
            <v>Non-Callable Fixed Rate MTN</v>
          </cell>
          <cell r="B43">
            <v>-7631954326</v>
          </cell>
          <cell r="C43">
            <v>0</v>
          </cell>
          <cell r="D43">
            <v>0</v>
          </cell>
          <cell r="E43">
            <v>0</v>
          </cell>
          <cell r="F43">
            <v>0</v>
          </cell>
          <cell r="G43">
            <v>0</v>
          </cell>
          <cell r="H43">
            <v>0</v>
          </cell>
          <cell r="I43">
            <v>0</v>
          </cell>
          <cell r="J43">
            <v>0</v>
          </cell>
          <cell r="K43">
            <v>0</v>
          </cell>
          <cell r="L43">
            <v>-7631954326</v>
          </cell>
        </row>
        <row r="44">
          <cell r="A44" t="str">
            <v>Non-Callable Floating Rate MTN</v>
          </cell>
          <cell r="B44">
            <v>-12042000000</v>
          </cell>
          <cell r="C44">
            <v>0</v>
          </cell>
          <cell r="D44">
            <v>0</v>
          </cell>
          <cell r="E44">
            <v>0</v>
          </cell>
          <cell r="F44">
            <v>0</v>
          </cell>
          <cell r="G44">
            <v>0</v>
          </cell>
          <cell r="H44">
            <v>8017000000</v>
          </cell>
          <cell r="I44">
            <v>0</v>
          </cell>
          <cell r="J44">
            <v>8017000000</v>
          </cell>
          <cell r="K44">
            <v>0</v>
          </cell>
          <cell r="L44">
            <v>-4025000000</v>
          </cell>
        </row>
        <row r="45">
          <cell r="A45" t="str">
            <v>Non-Callable Floating Rate MTN</v>
          </cell>
          <cell r="B45">
            <v>-12042000000</v>
          </cell>
          <cell r="C45">
            <v>0</v>
          </cell>
          <cell r="D45">
            <v>0</v>
          </cell>
          <cell r="E45">
            <v>0</v>
          </cell>
          <cell r="F45">
            <v>0</v>
          </cell>
          <cell r="G45">
            <v>0</v>
          </cell>
          <cell r="H45">
            <v>8017000000</v>
          </cell>
          <cell r="I45">
            <v>0</v>
          </cell>
          <cell r="J45">
            <v>8017000000</v>
          </cell>
          <cell r="K45">
            <v>0</v>
          </cell>
          <cell r="L45">
            <v>-4025000000</v>
          </cell>
        </row>
      </sheetData>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GL Tie out"/>
      <sheetName val=" Funding Summary"/>
      <sheetName val="Summary"/>
      <sheetName val="CUSIP Details"/>
    </sheetNames>
    <sheetDataSet>
      <sheetData sheetId="0"/>
      <sheetData sheetId="1"/>
      <sheetData sheetId="2"/>
      <sheetData sheetId="3">
        <row r="5">
          <cell r="A5" t="str">
            <v>Enter Accounting Framework:</v>
          </cell>
          <cell r="B5" t="str">
            <v>GAAP Accounting</v>
          </cell>
        </row>
        <row r="7">
          <cell r="A7" t="str">
            <v>Date and Time: 08/02/2022 04:31 PM</v>
          </cell>
        </row>
        <row r="8">
          <cell r="A8" t="str">
            <v>Report Environment: PROD</v>
          </cell>
        </row>
        <row r="9">
          <cell r="A9" t="str">
            <v>Report Description: This report shows Debt redemption value (UPB) activity, walking forward from beginning balance to ending balance. All Debt is represented in USD Equivalent only</v>
          </cell>
        </row>
        <row r="10">
          <cell r="A10" t="str">
            <v>Term Type</v>
          </cell>
          <cell r="B10" t="str">
            <v>Beginning Balance</v>
          </cell>
          <cell r="C10" t="str">
            <v>New Issues (-)</v>
          </cell>
          <cell r="D10" t="str">
            <v>Re-opens (-)</v>
          </cell>
          <cell r="E10" t="str">
            <v>Total Issuances (-)</v>
          </cell>
          <cell r="F10" t="str">
            <v>Repurchases (+)</v>
          </cell>
          <cell r="G10" t="str">
            <v>Calls / Puts (+)</v>
          </cell>
          <cell r="H10" t="str">
            <v>Scheduled Paydown / Maturites (+)</v>
          </cell>
          <cell r="I10" t="str">
            <v>Non-Cash Principal Adjustment</v>
          </cell>
          <cell r="J10" t="str">
            <v>Total Redemptions (+)</v>
          </cell>
          <cell r="K10" t="str">
            <v>FX Translation Gain / (Loss)</v>
          </cell>
          <cell r="L10" t="str">
            <v>Report Calculated Ending Balance</v>
          </cell>
        </row>
        <row r="11">
          <cell r="A11" t="str">
            <v>Total Fed Funds Purchased &amp; Repo</v>
          </cell>
          <cell r="B11">
            <v>-1466250000</v>
          </cell>
          <cell r="C11">
            <v>-1558932500</v>
          </cell>
          <cell r="D11">
            <v>0</v>
          </cell>
          <cell r="E11">
            <v>-1558932500</v>
          </cell>
          <cell r="F11">
            <v>0</v>
          </cell>
          <cell r="G11">
            <v>0</v>
          </cell>
          <cell r="H11">
            <v>3025182500</v>
          </cell>
          <cell r="I11">
            <v>0</v>
          </cell>
          <cell r="J11">
            <v>3025182500</v>
          </cell>
          <cell r="K11">
            <v>0</v>
          </cell>
          <cell r="L11">
            <v>0</v>
          </cell>
        </row>
        <row r="12">
          <cell r="A12" t="str">
            <v>Non-Fair Value Option</v>
          </cell>
          <cell r="B12">
            <v>-1466250000</v>
          </cell>
          <cell r="C12">
            <v>-1558932500</v>
          </cell>
          <cell r="D12">
            <v>0</v>
          </cell>
          <cell r="E12">
            <v>-1558932500</v>
          </cell>
          <cell r="F12">
            <v>0</v>
          </cell>
          <cell r="G12">
            <v>0</v>
          </cell>
          <cell r="H12">
            <v>3025182500</v>
          </cell>
          <cell r="I12">
            <v>0</v>
          </cell>
          <cell r="J12">
            <v>3025182500</v>
          </cell>
          <cell r="K12">
            <v>0</v>
          </cell>
          <cell r="L12">
            <v>0</v>
          </cell>
        </row>
        <row r="13">
          <cell r="A13" t="str">
            <v>NA</v>
          </cell>
          <cell r="B13">
            <v>-1466250000</v>
          </cell>
          <cell r="C13">
            <v>-1558932500</v>
          </cell>
          <cell r="D13">
            <v>0</v>
          </cell>
          <cell r="E13">
            <v>-1558932500</v>
          </cell>
          <cell r="F13">
            <v>0</v>
          </cell>
          <cell r="G13">
            <v>0</v>
          </cell>
          <cell r="H13">
            <v>3025182500</v>
          </cell>
          <cell r="I13">
            <v>0</v>
          </cell>
          <cell r="J13">
            <v>3025182500</v>
          </cell>
          <cell r="K13">
            <v>0</v>
          </cell>
          <cell r="L13">
            <v>0</v>
          </cell>
        </row>
        <row r="14">
          <cell r="A14" t="str">
            <v>NA</v>
          </cell>
          <cell r="B14">
            <v>-1466250000</v>
          </cell>
          <cell r="C14">
            <v>-1558932500</v>
          </cell>
          <cell r="D14">
            <v>0</v>
          </cell>
          <cell r="E14">
            <v>-1558932500</v>
          </cell>
          <cell r="F14">
            <v>0</v>
          </cell>
          <cell r="G14">
            <v>0</v>
          </cell>
          <cell r="H14">
            <v>3025182500</v>
          </cell>
          <cell r="I14">
            <v>0</v>
          </cell>
          <cell r="J14">
            <v>3025182500</v>
          </cell>
          <cell r="K14">
            <v>0</v>
          </cell>
          <cell r="L14">
            <v>0</v>
          </cell>
        </row>
        <row r="15">
          <cell r="A15" t="str">
            <v>DVP Repo</v>
          </cell>
          <cell r="B15">
            <v>-1466250000</v>
          </cell>
          <cell r="C15">
            <v>-1558932500</v>
          </cell>
          <cell r="D15">
            <v>0</v>
          </cell>
          <cell r="E15">
            <v>-1558932500</v>
          </cell>
          <cell r="F15">
            <v>0</v>
          </cell>
          <cell r="G15">
            <v>0</v>
          </cell>
          <cell r="H15">
            <v>3025182500</v>
          </cell>
          <cell r="I15">
            <v>0</v>
          </cell>
          <cell r="J15">
            <v>3025182500</v>
          </cell>
          <cell r="K15">
            <v>0</v>
          </cell>
          <cell r="L15">
            <v>0</v>
          </cell>
        </row>
        <row r="16">
          <cell r="A16" t="str">
            <v>DVP Repo</v>
          </cell>
          <cell r="B16">
            <v>-1466250000</v>
          </cell>
          <cell r="C16">
            <v>-1558932500</v>
          </cell>
          <cell r="D16">
            <v>0</v>
          </cell>
          <cell r="E16">
            <v>-1558932500</v>
          </cell>
          <cell r="F16">
            <v>0</v>
          </cell>
          <cell r="G16">
            <v>0</v>
          </cell>
          <cell r="H16">
            <v>3025182500</v>
          </cell>
          <cell r="I16">
            <v>0</v>
          </cell>
          <cell r="J16">
            <v>3025182500</v>
          </cell>
          <cell r="K16">
            <v>0</v>
          </cell>
          <cell r="L16">
            <v>0</v>
          </cell>
        </row>
        <row r="17">
          <cell r="A17" t="str">
            <v>Total Short Term Funding Term</v>
          </cell>
          <cell r="B17">
            <v>-7595000000</v>
          </cell>
          <cell r="C17">
            <v>-15400000000</v>
          </cell>
          <cell r="D17">
            <v>0</v>
          </cell>
          <cell r="E17">
            <v>-15400000000</v>
          </cell>
          <cell r="F17">
            <v>0</v>
          </cell>
          <cell r="G17">
            <v>0</v>
          </cell>
          <cell r="H17">
            <v>19700000000</v>
          </cell>
          <cell r="I17">
            <v>0</v>
          </cell>
          <cell r="J17">
            <v>19700000000</v>
          </cell>
          <cell r="K17">
            <v>0</v>
          </cell>
          <cell r="L17">
            <v>-3295000000</v>
          </cell>
        </row>
        <row r="18">
          <cell r="A18" t="str">
            <v>Non-Fair Value Option</v>
          </cell>
          <cell r="B18">
            <v>-7595000000</v>
          </cell>
          <cell r="C18">
            <v>-15400000000</v>
          </cell>
          <cell r="D18">
            <v>0</v>
          </cell>
          <cell r="E18">
            <v>-15400000000</v>
          </cell>
          <cell r="F18">
            <v>0</v>
          </cell>
          <cell r="G18">
            <v>0</v>
          </cell>
          <cell r="H18">
            <v>19700000000</v>
          </cell>
          <cell r="I18">
            <v>0</v>
          </cell>
          <cell r="J18">
            <v>19700000000</v>
          </cell>
          <cell r="K18">
            <v>0</v>
          </cell>
          <cell r="L18">
            <v>-3295000000</v>
          </cell>
        </row>
        <row r="19">
          <cell r="A19" t="str">
            <v>NA</v>
          </cell>
          <cell r="B19">
            <v>-7595000000</v>
          </cell>
          <cell r="C19">
            <v>-15400000000</v>
          </cell>
          <cell r="D19">
            <v>0</v>
          </cell>
          <cell r="E19">
            <v>-15400000000</v>
          </cell>
          <cell r="F19">
            <v>0</v>
          </cell>
          <cell r="G19">
            <v>0</v>
          </cell>
          <cell r="H19">
            <v>19700000000</v>
          </cell>
          <cell r="I19">
            <v>0</v>
          </cell>
          <cell r="J19">
            <v>19700000000</v>
          </cell>
          <cell r="K19">
            <v>0</v>
          </cell>
          <cell r="L19">
            <v>-3295000000</v>
          </cell>
        </row>
        <row r="20">
          <cell r="A20" t="str">
            <v>NA</v>
          </cell>
          <cell r="B20">
            <v>-7595000000</v>
          </cell>
          <cell r="C20">
            <v>-15400000000</v>
          </cell>
          <cell r="D20">
            <v>0</v>
          </cell>
          <cell r="E20">
            <v>-15400000000</v>
          </cell>
          <cell r="F20">
            <v>0</v>
          </cell>
          <cell r="G20">
            <v>0</v>
          </cell>
          <cell r="H20">
            <v>19700000000</v>
          </cell>
          <cell r="I20">
            <v>0</v>
          </cell>
          <cell r="J20">
            <v>19700000000</v>
          </cell>
          <cell r="K20">
            <v>0</v>
          </cell>
          <cell r="L20">
            <v>-3295000000</v>
          </cell>
        </row>
        <row r="21">
          <cell r="A21" t="str">
            <v>ST-Debt</v>
          </cell>
          <cell r="B21">
            <v>-7595000000</v>
          </cell>
          <cell r="C21">
            <v>-15400000000</v>
          </cell>
          <cell r="D21">
            <v>0</v>
          </cell>
          <cell r="E21">
            <v>-15400000000</v>
          </cell>
          <cell r="F21">
            <v>0</v>
          </cell>
          <cell r="G21">
            <v>0</v>
          </cell>
          <cell r="H21">
            <v>19700000000</v>
          </cell>
          <cell r="I21">
            <v>0</v>
          </cell>
          <cell r="J21">
            <v>19700000000</v>
          </cell>
          <cell r="K21">
            <v>0</v>
          </cell>
          <cell r="L21">
            <v>-3295000000</v>
          </cell>
        </row>
        <row r="22">
          <cell r="A22" t="str">
            <v>ST-Debt</v>
          </cell>
          <cell r="B22">
            <v>-7595000000</v>
          </cell>
          <cell r="C22">
            <v>-15400000000</v>
          </cell>
          <cell r="D22">
            <v>0</v>
          </cell>
          <cell r="E22">
            <v>-15400000000</v>
          </cell>
          <cell r="F22">
            <v>0</v>
          </cell>
          <cell r="G22">
            <v>0</v>
          </cell>
          <cell r="H22">
            <v>19700000000</v>
          </cell>
          <cell r="I22">
            <v>0</v>
          </cell>
          <cell r="J22">
            <v>19700000000</v>
          </cell>
          <cell r="K22">
            <v>0</v>
          </cell>
          <cell r="L22">
            <v>-3295000000</v>
          </cell>
        </row>
        <row r="23">
          <cell r="A23" t="str">
            <v>Total Long Term Funding Debt</v>
          </cell>
          <cell r="B23">
            <v>-140720871638.92999</v>
          </cell>
          <cell r="C23">
            <v>0</v>
          </cell>
          <cell r="D23">
            <v>0</v>
          </cell>
          <cell r="E23">
            <v>0</v>
          </cell>
          <cell r="F23">
            <v>0</v>
          </cell>
          <cell r="G23">
            <v>0</v>
          </cell>
          <cell r="H23">
            <v>6477422507.5900002</v>
          </cell>
          <cell r="I23">
            <v>44676.09</v>
          </cell>
          <cell r="J23">
            <v>6477467183.6800003</v>
          </cell>
          <cell r="K23">
            <v>173606.54</v>
          </cell>
          <cell r="L23">
            <v>-134243230848.71001</v>
          </cell>
        </row>
        <row r="24">
          <cell r="A24" t="str">
            <v>Fair Value Option</v>
          </cell>
          <cell r="B24">
            <v>-1833080830.99</v>
          </cell>
          <cell r="C24">
            <v>0</v>
          </cell>
          <cell r="D24">
            <v>0</v>
          </cell>
          <cell r="E24">
            <v>0</v>
          </cell>
          <cell r="F24">
            <v>0</v>
          </cell>
          <cell r="G24">
            <v>0</v>
          </cell>
          <cell r="H24">
            <v>34872165.409999996</v>
          </cell>
          <cell r="I24">
            <v>0</v>
          </cell>
          <cell r="J24">
            <v>34872165.409999996</v>
          </cell>
          <cell r="K24">
            <v>0</v>
          </cell>
          <cell r="L24">
            <v>-1798208665.5799999</v>
          </cell>
        </row>
        <row r="25">
          <cell r="A25" t="str">
            <v>NA</v>
          </cell>
          <cell r="B25">
            <v>-1833080830.99</v>
          </cell>
          <cell r="C25">
            <v>0</v>
          </cell>
          <cell r="D25">
            <v>0</v>
          </cell>
          <cell r="E25">
            <v>0</v>
          </cell>
          <cell r="F25">
            <v>0</v>
          </cell>
          <cell r="G25">
            <v>0</v>
          </cell>
          <cell r="H25">
            <v>34872165.409999996</v>
          </cell>
          <cell r="I25">
            <v>0</v>
          </cell>
          <cell r="J25">
            <v>34872165.409999996</v>
          </cell>
          <cell r="K25">
            <v>0</v>
          </cell>
          <cell r="L25">
            <v>-1798208665.5799999</v>
          </cell>
        </row>
        <row r="26">
          <cell r="A26" t="str">
            <v>NA</v>
          </cell>
          <cell r="B26">
            <v>-1833080830.99</v>
          </cell>
          <cell r="C26">
            <v>0</v>
          </cell>
          <cell r="D26">
            <v>0</v>
          </cell>
          <cell r="E26">
            <v>0</v>
          </cell>
          <cell r="F26">
            <v>0</v>
          </cell>
          <cell r="G26">
            <v>0</v>
          </cell>
          <cell r="H26">
            <v>34872165.409999996</v>
          </cell>
          <cell r="I26">
            <v>0</v>
          </cell>
          <cell r="J26">
            <v>34872165.409999996</v>
          </cell>
          <cell r="K26">
            <v>0</v>
          </cell>
          <cell r="L26">
            <v>-1798208665.5799999</v>
          </cell>
        </row>
        <row r="27">
          <cell r="A27" t="str">
            <v>LT - CAS</v>
          </cell>
          <cell r="B27">
            <v>-1583080830.99</v>
          </cell>
          <cell r="C27">
            <v>0</v>
          </cell>
          <cell r="D27">
            <v>0</v>
          </cell>
          <cell r="E27">
            <v>0</v>
          </cell>
          <cell r="F27">
            <v>0</v>
          </cell>
          <cell r="G27">
            <v>0</v>
          </cell>
          <cell r="H27">
            <v>34872165.409999996</v>
          </cell>
          <cell r="I27">
            <v>0</v>
          </cell>
          <cell r="J27">
            <v>34872165.409999996</v>
          </cell>
          <cell r="K27">
            <v>0</v>
          </cell>
          <cell r="L27">
            <v>-1548208665.5799999</v>
          </cell>
        </row>
        <row r="28">
          <cell r="A28" t="str">
            <v>LT - CAS</v>
          </cell>
          <cell r="B28">
            <v>-1583080830.99</v>
          </cell>
          <cell r="C28">
            <v>0</v>
          </cell>
          <cell r="D28">
            <v>0</v>
          </cell>
          <cell r="E28">
            <v>0</v>
          </cell>
          <cell r="F28">
            <v>0</v>
          </cell>
          <cell r="G28">
            <v>0</v>
          </cell>
          <cell r="H28">
            <v>34872165.409999996</v>
          </cell>
          <cell r="I28">
            <v>0</v>
          </cell>
          <cell r="J28">
            <v>34872165.409999996</v>
          </cell>
          <cell r="K28">
            <v>0</v>
          </cell>
          <cell r="L28">
            <v>-1548208665.5799999</v>
          </cell>
        </row>
        <row r="29">
          <cell r="A29" t="str">
            <v>Non-Callable Floating Rate MTN</v>
          </cell>
          <cell r="B29">
            <v>-250000000</v>
          </cell>
          <cell r="C29">
            <v>0</v>
          </cell>
          <cell r="D29">
            <v>0</v>
          </cell>
          <cell r="E29">
            <v>0</v>
          </cell>
          <cell r="F29">
            <v>0</v>
          </cell>
          <cell r="G29">
            <v>0</v>
          </cell>
          <cell r="H29">
            <v>0</v>
          </cell>
          <cell r="I29">
            <v>0</v>
          </cell>
          <cell r="J29">
            <v>0</v>
          </cell>
          <cell r="K29">
            <v>0</v>
          </cell>
          <cell r="L29">
            <v>-250000000</v>
          </cell>
        </row>
        <row r="30">
          <cell r="A30" t="str">
            <v>Non-Callable Floating Rate MTN</v>
          </cell>
          <cell r="B30">
            <v>-250000000</v>
          </cell>
          <cell r="C30">
            <v>0</v>
          </cell>
          <cell r="D30">
            <v>0</v>
          </cell>
          <cell r="E30">
            <v>0</v>
          </cell>
          <cell r="F30">
            <v>0</v>
          </cell>
          <cell r="G30">
            <v>0</v>
          </cell>
          <cell r="H30">
            <v>0</v>
          </cell>
          <cell r="I30">
            <v>0</v>
          </cell>
          <cell r="J30">
            <v>0</v>
          </cell>
          <cell r="K30">
            <v>0</v>
          </cell>
          <cell r="L30">
            <v>-250000000</v>
          </cell>
        </row>
        <row r="31">
          <cell r="A31" t="str">
            <v>Non-Fair Value Option</v>
          </cell>
          <cell r="B31">
            <v>-138887790807.94</v>
          </cell>
          <cell r="C31">
            <v>0</v>
          </cell>
          <cell r="D31">
            <v>0</v>
          </cell>
          <cell r="E31">
            <v>0</v>
          </cell>
          <cell r="F31">
            <v>0</v>
          </cell>
          <cell r="G31">
            <v>0</v>
          </cell>
          <cell r="H31">
            <v>6442550342.1800003</v>
          </cell>
          <cell r="I31">
            <v>44676.09</v>
          </cell>
          <cell r="J31">
            <v>6442595018.2700005</v>
          </cell>
          <cell r="K31">
            <v>173606.54</v>
          </cell>
          <cell r="L31">
            <v>-132445022183.13</v>
          </cell>
        </row>
        <row r="32">
          <cell r="A32" t="str">
            <v>NA</v>
          </cell>
          <cell r="B32">
            <v>-138887790807.94</v>
          </cell>
          <cell r="C32">
            <v>0</v>
          </cell>
          <cell r="D32">
            <v>0</v>
          </cell>
          <cell r="E32">
            <v>0</v>
          </cell>
          <cell r="F32">
            <v>0</v>
          </cell>
          <cell r="G32">
            <v>0</v>
          </cell>
          <cell r="H32">
            <v>6442550342.1800003</v>
          </cell>
          <cell r="I32">
            <v>44676.09</v>
          </cell>
          <cell r="J32">
            <v>6442595018.2700005</v>
          </cell>
          <cell r="K32">
            <v>173606.54</v>
          </cell>
          <cell r="L32">
            <v>-132445022183.13</v>
          </cell>
        </row>
        <row r="33">
          <cell r="A33" t="str">
            <v>NA</v>
          </cell>
          <cell r="B33">
            <v>-138887790807.94</v>
          </cell>
          <cell r="C33">
            <v>0</v>
          </cell>
          <cell r="D33">
            <v>0</v>
          </cell>
          <cell r="E33">
            <v>0</v>
          </cell>
          <cell r="F33">
            <v>0</v>
          </cell>
          <cell r="G33">
            <v>0</v>
          </cell>
          <cell r="H33">
            <v>6442550342.1800003</v>
          </cell>
          <cell r="I33">
            <v>44676.09</v>
          </cell>
          <cell r="J33">
            <v>6442595018.2700005</v>
          </cell>
          <cell r="K33">
            <v>173606.54</v>
          </cell>
          <cell r="L33">
            <v>-132445022183.13</v>
          </cell>
        </row>
        <row r="34">
          <cell r="A34" t="str">
            <v>Benchmark Notes &amp; Bonds</v>
          </cell>
          <cell r="B34">
            <v>-81739666000</v>
          </cell>
          <cell r="C34">
            <v>0</v>
          </cell>
          <cell r="D34">
            <v>0</v>
          </cell>
          <cell r="E34">
            <v>0</v>
          </cell>
          <cell r="F34">
            <v>0</v>
          </cell>
          <cell r="G34">
            <v>0</v>
          </cell>
          <cell r="H34">
            <v>0</v>
          </cell>
          <cell r="I34">
            <v>0</v>
          </cell>
          <cell r="J34">
            <v>0</v>
          </cell>
          <cell r="K34">
            <v>0</v>
          </cell>
          <cell r="L34">
            <v>-81739666000</v>
          </cell>
        </row>
        <row r="35">
          <cell r="A35" t="str">
            <v>Benchmark Notes &amp; Bonds</v>
          </cell>
          <cell r="B35">
            <v>-81739666000</v>
          </cell>
          <cell r="C35">
            <v>0</v>
          </cell>
          <cell r="D35">
            <v>0</v>
          </cell>
          <cell r="E35">
            <v>0</v>
          </cell>
          <cell r="F35">
            <v>0</v>
          </cell>
          <cell r="G35">
            <v>0</v>
          </cell>
          <cell r="H35">
            <v>0</v>
          </cell>
          <cell r="I35">
            <v>0</v>
          </cell>
          <cell r="J35">
            <v>0</v>
          </cell>
          <cell r="K35">
            <v>0</v>
          </cell>
          <cell r="L35">
            <v>-81739666000</v>
          </cell>
        </row>
        <row r="36">
          <cell r="A36" t="str">
            <v>Callable Fixed Rate MTN</v>
          </cell>
          <cell r="B36">
            <v>-37153790000</v>
          </cell>
          <cell r="C36">
            <v>0</v>
          </cell>
          <cell r="D36">
            <v>0</v>
          </cell>
          <cell r="E36">
            <v>0</v>
          </cell>
          <cell r="F36">
            <v>0</v>
          </cell>
          <cell r="G36">
            <v>0</v>
          </cell>
          <cell r="H36">
            <v>0</v>
          </cell>
          <cell r="I36">
            <v>0</v>
          </cell>
          <cell r="J36">
            <v>0</v>
          </cell>
          <cell r="K36">
            <v>0</v>
          </cell>
          <cell r="L36">
            <v>-37153790000</v>
          </cell>
        </row>
        <row r="37">
          <cell r="A37" t="str">
            <v>Callable Fixed Rate MTN</v>
          </cell>
          <cell r="B37">
            <v>-37153790000</v>
          </cell>
          <cell r="C37">
            <v>0</v>
          </cell>
          <cell r="D37">
            <v>0</v>
          </cell>
          <cell r="E37">
            <v>0</v>
          </cell>
          <cell r="F37">
            <v>0</v>
          </cell>
          <cell r="G37">
            <v>0</v>
          </cell>
          <cell r="H37">
            <v>0</v>
          </cell>
          <cell r="I37">
            <v>0</v>
          </cell>
          <cell r="J37">
            <v>0</v>
          </cell>
          <cell r="K37">
            <v>0</v>
          </cell>
          <cell r="L37">
            <v>-37153790000</v>
          </cell>
        </row>
        <row r="38">
          <cell r="A38" t="str">
            <v>LT - CAS</v>
          </cell>
          <cell r="B38">
            <v>-8035355121.7399998</v>
          </cell>
          <cell r="C38">
            <v>0</v>
          </cell>
          <cell r="D38">
            <v>0</v>
          </cell>
          <cell r="E38">
            <v>0</v>
          </cell>
          <cell r="F38">
            <v>0</v>
          </cell>
          <cell r="G38">
            <v>0</v>
          </cell>
          <cell r="H38">
            <v>2417550342.1799998</v>
          </cell>
          <cell r="I38">
            <v>44676.09</v>
          </cell>
          <cell r="J38">
            <v>2417595018.27</v>
          </cell>
          <cell r="K38">
            <v>0</v>
          </cell>
          <cell r="L38">
            <v>-5617760103.4700003</v>
          </cell>
        </row>
        <row r="39">
          <cell r="A39" t="str">
            <v>LT - CAS</v>
          </cell>
          <cell r="B39">
            <v>-8035355121.7399998</v>
          </cell>
          <cell r="C39">
            <v>0</v>
          </cell>
          <cell r="D39">
            <v>0</v>
          </cell>
          <cell r="E39">
            <v>0</v>
          </cell>
          <cell r="F39">
            <v>0</v>
          </cell>
          <cell r="G39">
            <v>0</v>
          </cell>
          <cell r="H39">
            <v>2417550342.1799998</v>
          </cell>
          <cell r="I39">
            <v>44676.09</v>
          </cell>
          <cell r="J39">
            <v>2417595018.27</v>
          </cell>
          <cell r="K39">
            <v>0</v>
          </cell>
          <cell r="L39">
            <v>-5617760103.4700003</v>
          </cell>
        </row>
        <row r="40">
          <cell r="A40" t="str">
            <v>LT - FX Debt</v>
          </cell>
          <cell r="B40">
            <v>-302025360.19999999</v>
          </cell>
          <cell r="C40">
            <v>0</v>
          </cell>
          <cell r="D40">
            <v>0</v>
          </cell>
          <cell r="E40">
            <v>0</v>
          </cell>
          <cell r="F40">
            <v>0</v>
          </cell>
          <cell r="G40">
            <v>0</v>
          </cell>
          <cell r="H40">
            <v>0</v>
          </cell>
          <cell r="I40">
            <v>0</v>
          </cell>
          <cell r="J40">
            <v>0</v>
          </cell>
          <cell r="K40">
            <v>173606.54</v>
          </cell>
          <cell r="L40">
            <v>-301851753.66000003</v>
          </cell>
        </row>
        <row r="41">
          <cell r="A41" t="str">
            <v>LT - FX Debt</v>
          </cell>
          <cell r="B41">
            <v>-302025360.19999999</v>
          </cell>
          <cell r="C41">
            <v>0</v>
          </cell>
          <cell r="D41">
            <v>0</v>
          </cell>
          <cell r="E41">
            <v>0</v>
          </cell>
          <cell r="F41">
            <v>0</v>
          </cell>
          <cell r="G41">
            <v>0</v>
          </cell>
          <cell r="H41">
            <v>0</v>
          </cell>
          <cell r="I41">
            <v>0</v>
          </cell>
          <cell r="J41">
            <v>0</v>
          </cell>
          <cell r="K41">
            <v>173606.54</v>
          </cell>
          <cell r="L41">
            <v>-301851753.66000003</v>
          </cell>
        </row>
        <row r="42">
          <cell r="A42" t="str">
            <v>Non-Callable Fixed Rate MTN</v>
          </cell>
          <cell r="B42">
            <v>-7631954326</v>
          </cell>
          <cell r="C42">
            <v>0</v>
          </cell>
          <cell r="D42">
            <v>0</v>
          </cell>
          <cell r="E42">
            <v>0</v>
          </cell>
          <cell r="F42">
            <v>0</v>
          </cell>
          <cell r="G42">
            <v>0</v>
          </cell>
          <cell r="H42">
            <v>0</v>
          </cell>
          <cell r="I42">
            <v>0</v>
          </cell>
          <cell r="J42">
            <v>0</v>
          </cell>
          <cell r="K42">
            <v>0</v>
          </cell>
          <cell r="L42">
            <v>-7631954326</v>
          </cell>
        </row>
        <row r="43">
          <cell r="A43" t="str">
            <v>Non-Callable Fixed Rate MTN</v>
          </cell>
          <cell r="B43">
            <v>-7631954326</v>
          </cell>
          <cell r="C43">
            <v>0</v>
          </cell>
          <cell r="D43">
            <v>0</v>
          </cell>
          <cell r="E43">
            <v>0</v>
          </cell>
          <cell r="F43">
            <v>0</v>
          </cell>
          <cell r="G43">
            <v>0</v>
          </cell>
          <cell r="H43">
            <v>0</v>
          </cell>
          <cell r="I43">
            <v>0</v>
          </cell>
          <cell r="J43">
            <v>0</v>
          </cell>
          <cell r="K43">
            <v>0</v>
          </cell>
          <cell r="L43">
            <v>-7631954326</v>
          </cell>
        </row>
        <row r="44">
          <cell r="A44" t="str">
            <v>Non-Callable Floating Rate MTN</v>
          </cell>
          <cell r="B44">
            <v>-4025000000</v>
          </cell>
          <cell r="C44">
            <v>0</v>
          </cell>
          <cell r="D44">
            <v>0</v>
          </cell>
          <cell r="E44">
            <v>0</v>
          </cell>
          <cell r="F44">
            <v>0</v>
          </cell>
          <cell r="G44">
            <v>0</v>
          </cell>
          <cell r="H44">
            <v>4025000000</v>
          </cell>
          <cell r="I44">
            <v>0</v>
          </cell>
          <cell r="J44">
            <v>4025000000</v>
          </cell>
          <cell r="K44">
            <v>0</v>
          </cell>
          <cell r="L44">
            <v>0</v>
          </cell>
        </row>
        <row r="45">
          <cell r="A45" t="str">
            <v>Non-Callable Floating Rate MTN</v>
          </cell>
          <cell r="B45">
            <v>-4025000000</v>
          </cell>
          <cell r="C45">
            <v>0</v>
          </cell>
          <cell r="D45">
            <v>0</v>
          </cell>
          <cell r="E45">
            <v>0</v>
          </cell>
          <cell r="F45">
            <v>0</v>
          </cell>
          <cell r="G45">
            <v>0</v>
          </cell>
          <cell r="H45">
            <v>4025000000</v>
          </cell>
          <cell r="I45">
            <v>0</v>
          </cell>
          <cell r="J45">
            <v>4025000000</v>
          </cell>
          <cell r="K45">
            <v>0</v>
          </cell>
          <cell r="L45">
            <v>0</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GL Tie out"/>
      <sheetName val=" Funding Summary"/>
      <sheetName val="Summary"/>
      <sheetName val="CUSIP Details"/>
    </sheetNames>
    <sheetDataSet>
      <sheetData sheetId="0"/>
      <sheetData sheetId="1"/>
      <sheetData sheetId="2"/>
      <sheetData sheetId="3">
        <row r="5">
          <cell r="A5" t="str">
            <v>Enter Accounting Framework:</v>
          </cell>
          <cell r="B5" t="str">
            <v>GAAP Accounting</v>
          </cell>
        </row>
        <row r="7">
          <cell r="A7" t="str">
            <v>Date and Time: 09/06/2022 06:34 PM</v>
          </cell>
        </row>
        <row r="8">
          <cell r="A8" t="str">
            <v>Report Environment: PROD</v>
          </cell>
        </row>
        <row r="9">
          <cell r="A9" t="str">
            <v>Report Description: This report shows Debt redemption value (UPB) activity, walking forward from beginning balance to ending balance. All Debt is represented in USD Equivalent only</v>
          </cell>
        </row>
        <row r="10">
          <cell r="A10" t="str">
            <v>Term Type</v>
          </cell>
          <cell r="B10" t="str">
            <v>Beginning Balance</v>
          </cell>
          <cell r="C10" t="str">
            <v>New Issues (-)</v>
          </cell>
          <cell r="D10" t="str">
            <v>Re-opens (-)</v>
          </cell>
          <cell r="E10" t="str">
            <v>Total Issuances (-)</v>
          </cell>
          <cell r="F10" t="str">
            <v>Repurchases (+)</v>
          </cell>
          <cell r="G10" t="str">
            <v>Calls / Puts (+)</v>
          </cell>
          <cell r="H10" t="str">
            <v>Scheduled Paydown / Maturites (+)</v>
          </cell>
          <cell r="I10" t="str">
            <v>Non-Cash Principal Adjustment</v>
          </cell>
          <cell r="J10" t="str">
            <v>Total Redemptions (+)</v>
          </cell>
          <cell r="K10" t="str">
            <v>FX Translation Gain / (Loss)</v>
          </cell>
          <cell r="L10" t="str">
            <v>Report Calculated Ending Balance</v>
          </cell>
        </row>
        <row r="11">
          <cell r="A11" t="str">
            <v>Total Fed Funds Purchased &amp; Repo</v>
          </cell>
          <cell r="B11">
            <v>0</v>
          </cell>
          <cell r="C11">
            <v>-119843750</v>
          </cell>
          <cell r="D11">
            <v>0</v>
          </cell>
          <cell r="E11">
            <v>-119843750</v>
          </cell>
          <cell r="F11">
            <v>0</v>
          </cell>
          <cell r="G11">
            <v>0</v>
          </cell>
          <cell r="H11">
            <v>0</v>
          </cell>
          <cell r="I11">
            <v>0</v>
          </cell>
          <cell r="J11">
            <v>0</v>
          </cell>
          <cell r="K11">
            <v>0</v>
          </cell>
          <cell r="L11">
            <v>-119843750</v>
          </cell>
        </row>
        <row r="12">
          <cell r="A12" t="str">
            <v>Non-Fair Value Option</v>
          </cell>
          <cell r="B12">
            <v>0</v>
          </cell>
          <cell r="C12">
            <v>-119843750</v>
          </cell>
          <cell r="D12">
            <v>0</v>
          </cell>
          <cell r="E12">
            <v>-119843750</v>
          </cell>
          <cell r="F12">
            <v>0</v>
          </cell>
          <cell r="G12">
            <v>0</v>
          </cell>
          <cell r="H12">
            <v>0</v>
          </cell>
          <cell r="I12">
            <v>0</v>
          </cell>
          <cell r="J12">
            <v>0</v>
          </cell>
          <cell r="K12">
            <v>0</v>
          </cell>
          <cell r="L12">
            <v>-119843750</v>
          </cell>
        </row>
        <row r="13">
          <cell r="A13" t="str">
            <v>NA</v>
          </cell>
          <cell r="B13">
            <v>0</v>
          </cell>
          <cell r="C13">
            <v>-119843750</v>
          </cell>
          <cell r="D13">
            <v>0</v>
          </cell>
          <cell r="E13">
            <v>-119843750</v>
          </cell>
          <cell r="F13">
            <v>0</v>
          </cell>
          <cell r="G13">
            <v>0</v>
          </cell>
          <cell r="H13">
            <v>0</v>
          </cell>
          <cell r="I13">
            <v>0</v>
          </cell>
          <cell r="J13">
            <v>0</v>
          </cell>
          <cell r="K13">
            <v>0</v>
          </cell>
          <cell r="L13">
            <v>-119843750</v>
          </cell>
        </row>
        <row r="14">
          <cell r="A14" t="str">
            <v>NA</v>
          </cell>
          <cell r="B14">
            <v>0</v>
          </cell>
          <cell r="C14">
            <v>-119843750</v>
          </cell>
          <cell r="D14">
            <v>0</v>
          </cell>
          <cell r="E14">
            <v>-119843750</v>
          </cell>
          <cell r="F14">
            <v>0</v>
          </cell>
          <cell r="G14">
            <v>0</v>
          </cell>
          <cell r="H14">
            <v>0</v>
          </cell>
          <cell r="I14">
            <v>0</v>
          </cell>
          <cell r="J14">
            <v>0</v>
          </cell>
          <cell r="K14">
            <v>0</v>
          </cell>
          <cell r="L14">
            <v>-119843750</v>
          </cell>
        </row>
        <row r="15">
          <cell r="A15" t="str">
            <v>DVP Repo</v>
          </cell>
          <cell r="B15">
            <v>0</v>
          </cell>
          <cell r="C15">
            <v>-119843750</v>
          </cell>
          <cell r="D15">
            <v>0</v>
          </cell>
          <cell r="E15">
            <v>-119843750</v>
          </cell>
          <cell r="F15">
            <v>0</v>
          </cell>
          <cell r="G15">
            <v>0</v>
          </cell>
          <cell r="H15">
            <v>0</v>
          </cell>
          <cell r="I15">
            <v>0</v>
          </cell>
          <cell r="J15">
            <v>0</v>
          </cell>
          <cell r="K15">
            <v>0</v>
          </cell>
          <cell r="L15">
            <v>-119843750</v>
          </cell>
        </row>
        <row r="16">
          <cell r="A16" t="str">
            <v>DVP Repo</v>
          </cell>
          <cell r="B16">
            <v>0</v>
          </cell>
          <cell r="C16">
            <v>-119843750</v>
          </cell>
          <cell r="D16">
            <v>0</v>
          </cell>
          <cell r="E16">
            <v>-119843750</v>
          </cell>
          <cell r="F16">
            <v>0</v>
          </cell>
          <cell r="G16">
            <v>0</v>
          </cell>
          <cell r="H16">
            <v>0</v>
          </cell>
          <cell r="I16">
            <v>0</v>
          </cell>
          <cell r="J16">
            <v>0</v>
          </cell>
          <cell r="K16">
            <v>0</v>
          </cell>
          <cell r="L16">
            <v>-119843750</v>
          </cell>
        </row>
        <row r="17">
          <cell r="A17" t="str">
            <v>Total Short Term Funding Term</v>
          </cell>
          <cell r="B17">
            <v>-3295000000</v>
          </cell>
          <cell r="C17">
            <v>-1000000000</v>
          </cell>
          <cell r="D17">
            <v>0</v>
          </cell>
          <cell r="E17">
            <v>-1000000000</v>
          </cell>
          <cell r="F17">
            <v>0</v>
          </cell>
          <cell r="G17">
            <v>0</v>
          </cell>
          <cell r="H17">
            <v>1250000000</v>
          </cell>
          <cell r="I17">
            <v>0</v>
          </cell>
          <cell r="J17">
            <v>1250000000</v>
          </cell>
          <cell r="K17">
            <v>0</v>
          </cell>
          <cell r="L17">
            <v>-3045000000</v>
          </cell>
        </row>
        <row r="18">
          <cell r="A18" t="str">
            <v>Non-Fair Value Option</v>
          </cell>
          <cell r="B18">
            <v>-3295000000</v>
          </cell>
          <cell r="C18">
            <v>-1000000000</v>
          </cell>
          <cell r="D18">
            <v>0</v>
          </cell>
          <cell r="E18">
            <v>-1000000000</v>
          </cell>
          <cell r="F18">
            <v>0</v>
          </cell>
          <cell r="G18">
            <v>0</v>
          </cell>
          <cell r="H18">
            <v>1250000000</v>
          </cell>
          <cell r="I18">
            <v>0</v>
          </cell>
          <cell r="J18">
            <v>1250000000</v>
          </cell>
          <cell r="K18">
            <v>0</v>
          </cell>
          <cell r="L18">
            <v>-3045000000</v>
          </cell>
        </row>
        <row r="19">
          <cell r="A19" t="str">
            <v>NA</v>
          </cell>
          <cell r="B19">
            <v>-3295000000</v>
          </cell>
          <cell r="C19">
            <v>-1000000000</v>
          </cell>
          <cell r="D19">
            <v>0</v>
          </cell>
          <cell r="E19">
            <v>-1000000000</v>
          </cell>
          <cell r="F19">
            <v>0</v>
          </cell>
          <cell r="G19">
            <v>0</v>
          </cell>
          <cell r="H19">
            <v>1250000000</v>
          </cell>
          <cell r="I19">
            <v>0</v>
          </cell>
          <cell r="J19">
            <v>1250000000</v>
          </cell>
          <cell r="K19">
            <v>0</v>
          </cell>
          <cell r="L19">
            <v>-3045000000</v>
          </cell>
        </row>
        <row r="20">
          <cell r="A20" t="str">
            <v>NA</v>
          </cell>
          <cell r="B20">
            <v>-3295000000</v>
          </cell>
          <cell r="C20">
            <v>-1000000000</v>
          </cell>
          <cell r="D20">
            <v>0</v>
          </cell>
          <cell r="E20">
            <v>-1000000000</v>
          </cell>
          <cell r="F20">
            <v>0</v>
          </cell>
          <cell r="G20">
            <v>0</v>
          </cell>
          <cell r="H20">
            <v>1250000000</v>
          </cell>
          <cell r="I20">
            <v>0</v>
          </cell>
          <cell r="J20">
            <v>1250000000</v>
          </cell>
          <cell r="K20">
            <v>0</v>
          </cell>
          <cell r="L20">
            <v>-3045000000</v>
          </cell>
        </row>
        <row r="21">
          <cell r="A21" t="str">
            <v>ST-Debt</v>
          </cell>
          <cell r="B21">
            <v>-3295000000</v>
          </cell>
          <cell r="C21">
            <v>-1000000000</v>
          </cell>
          <cell r="D21">
            <v>0</v>
          </cell>
          <cell r="E21">
            <v>-1000000000</v>
          </cell>
          <cell r="F21">
            <v>0</v>
          </cell>
          <cell r="G21">
            <v>0</v>
          </cell>
          <cell r="H21">
            <v>1250000000</v>
          </cell>
          <cell r="I21">
            <v>0</v>
          </cell>
          <cell r="J21">
            <v>1250000000</v>
          </cell>
          <cell r="K21">
            <v>0</v>
          </cell>
          <cell r="L21">
            <v>-3045000000</v>
          </cell>
        </row>
        <row r="22">
          <cell r="A22" t="str">
            <v>ST-Debt</v>
          </cell>
          <cell r="B22">
            <v>-3295000000</v>
          </cell>
          <cell r="C22">
            <v>-1000000000</v>
          </cell>
          <cell r="D22">
            <v>0</v>
          </cell>
          <cell r="E22">
            <v>-1000000000</v>
          </cell>
          <cell r="F22">
            <v>0</v>
          </cell>
          <cell r="G22">
            <v>0</v>
          </cell>
          <cell r="H22">
            <v>1250000000</v>
          </cell>
          <cell r="I22">
            <v>0</v>
          </cell>
          <cell r="J22">
            <v>1250000000</v>
          </cell>
          <cell r="K22">
            <v>0</v>
          </cell>
          <cell r="L22">
            <v>-3045000000</v>
          </cell>
        </row>
        <row r="23">
          <cell r="A23" t="str">
            <v>Total Long Term Funding Debt</v>
          </cell>
          <cell r="B23">
            <v>-134243230848.71001</v>
          </cell>
          <cell r="C23">
            <v>-925000000</v>
          </cell>
          <cell r="D23">
            <v>-75000000</v>
          </cell>
          <cell r="E23">
            <v>-1000000000</v>
          </cell>
          <cell r="F23">
            <v>1000000000</v>
          </cell>
          <cell r="G23">
            <v>0</v>
          </cell>
          <cell r="H23">
            <v>174478145.00999999</v>
          </cell>
          <cell r="I23">
            <v>-10642.51</v>
          </cell>
          <cell r="J23">
            <v>174467502.5</v>
          </cell>
          <cell r="K23">
            <v>13615693.859999999</v>
          </cell>
          <cell r="L23">
            <v>-134055147652.35001</v>
          </cell>
        </row>
        <row r="24">
          <cell r="A24" t="str">
            <v>Fair Value Option</v>
          </cell>
          <cell r="B24">
            <v>-1798208665.5799999</v>
          </cell>
          <cell r="C24">
            <v>0</v>
          </cell>
          <cell r="D24">
            <v>0</v>
          </cell>
          <cell r="E24">
            <v>0</v>
          </cell>
          <cell r="F24">
            <v>0</v>
          </cell>
          <cell r="G24">
            <v>0</v>
          </cell>
          <cell r="H24">
            <v>36863330.149999999</v>
          </cell>
          <cell r="I24">
            <v>0</v>
          </cell>
          <cell r="J24">
            <v>36863330.149999999</v>
          </cell>
          <cell r="K24">
            <v>0</v>
          </cell>
          <cell r="L24">
            <v>-1761345335.4300001</v>
          </cell>
        </row>
        <row r="25">
          <cell r="A25" t="str">
            <v>NA</v>
          </cell>
          <cell r="B25">
            <v>-1798208665.5799999</v>
          </cell>
          <cell r="C25">
            <v>0</v>
          </cell>
          <cell r="D25">
            <v>0</v>
          </cell>
          <cell r="E25">
            <v>0</v>
          </cell>
          <cell r="F25">
            <v>0</v>
          </cell>
          <cell r="G25">
            <v>0</v>
          </cell>
          <cell r="H25">
            <v>36863330.149999999</v>
          </cell>
          <cell r="I25">
            <v>0</v>
          </cell>
          <cell r="J25">
            <v>36863330.149999999</v>
          </cell>
          <cell r="K25">
            <v>0</v>
          </cell>
          <cell r="L25">
            <v>-1761345335.4300001</v>
          </cell>
        </row>
        <row r="26">
          <cell r="A26" t="str">
            <v>NA</v>
          </cell>
          <cell r="B26">
            <v>-1798208665.5799999</v>
          </cell>
          <cell r="C26">
            <v>0</v>
          </cell>
          <cell r="D26">
            <v>0</v>
          </cell>
          <cell r="E26">
            <v>0</v>
          </cell>
          <cell r="F26">
            <v>0</v>
          </cell>
          <cell r="G26">
            <v>0</v>
          </cell>
          <cell r="H26">
            <v>36863330.149999999</v>
          </cell>
          <cell r="I26">
            <v>0</v>
          </cell>
          <cell r="J26">
            <v>36863330.149999999</v>
          </cell>
          <cell r="K26">
            <v>0</v>
          </cell>
          <cell r="L26">
            <v>-1761345335.4300001</v>
          </cell>
        </row>
        <row r="27">
          <cell r="A27" t="str">
            <v>LT - CAS</v>
          </cell>
          <cell r="B27">
            <v>-1548208665.5799999</v>
          </cell>
          <cell r="C27">
            <v>0</v>
          </cell>
          <cell r="D27">
            <v>0</v>
          </cell>
          <cell r="E27">
            <v>0</v>
          </cell>
          <cell r="F27">
            <v>0</v>
          </cell>
          <cell r="G27">
            <v>0</v>
          </cell>
          <cell r="H27">
            <v>36863330.149999999</v>
          </cell>
          <cell r="I27">
            <v>0</v>
          </cell>
          <cell r="J27">
            <v>36863330.149999999</v>
          </cell>
          <cell r="K27">
            <v>0</v>
          </cell>
          <cell r="L27">
            <v>-1511345335.4300001</v>
          </cell>
        </row>
        <row r="28">
          <cell r="A28" t="str">
            <v>LT - CAS</v>
          </cell>
          <cell r="B28">
            <v>-1548208665.5799999</v>
          </cell>
          <cell r="C28">
            <v>0</v>
          </cell>
          <cell r="D28">
            <v>0</v>
          </cell>
          <cell r="E28">
            <v>0</v>
          </cell>
          <cell r="F28">
            <v>0</v>
          </cell>
          <cell r="G28">
            <v>0</v>
          </cell>
          <cell r="H28">
            <v>36863330.149999999</v>
          </cell>
          <cell r="I28">
            <v>0</v>
          </cell>
          <cell r="J28">
            <v>36863330.149999999</v>
          </cell>
          <cell r="K28">
            <v>0</v>
          </cell>
          <cell r="L28">
            <v>-1511345335.4300001</v>
          </cell>
        </row>
        <row r="29">
          <cell r="A29" t="str">
            <v>Non-Callable Floating Rate MTN</v>
          </cell>
          <cell r="B29">
            <v>-250000000</v>
          </cell>
          <cell r="C29">
            <v>0</v>
          </cell>
          <cell r="D29">
            <v>0</v>
          </cell>
          <cell r="E29">
            <v>0</v>
          </cell>
          <cell r="F29">
            <v>0</v>
          </cell>
          <cell r="G29">
            <v>0</v>
          </cell>
          <cell r="H29">
            <v>0</v>
          </cell>
          <cell r="I29">
            <v>0</v>
          </cell>
          <cell r="J29">
            <v>0</v>
          </cell>
          <cell r="K29">
            <v>0</v>
          </cell>
          <cell r="L29">
            <v>-250000000</v>
          </cell>
        </row>
        <row r="30">
          <cell r="A30" t="str">
            <v>Non-Callable Floating Rate MTN</v>
          </cell>
          <cell r="B30">
            <v>-250000000</v>
          </cell>
          <cell r="C30">
            <v>0</v>
          </cell>
          <cell r="D30">
            <v>0</v>
          </cell>
          <cell r="E30">
            <v>0</v>
          </cell>
          <cell r="F30">
            <v>0</v>
          </cell>
          <cell r="G30">
            <v>0</v>
          </cell>
          <cell r="H30">
            <v>0</v>
          </cell>
          <cell r="I30">
            <v>0</v>
          </cell>
          <cell r="J30">
            <v>0</v>
          </cell>
          <cell r="K30">
            <v>0</v>
          </cell>
          <cell r="L30">
            <v>-250000000</v>
          </cell>
        </row>
        <row r="31">
          <cell r="A31" t="str">
            <v>Non-Fair Value Option</v>
          </cell>
          <cell r="B31">
            <v>-132445022183.13</v>
          </cell>
          <cell r="C31">
            <v>-925000000</v>
          </cell>
          <cell r="D31">
            <v>-75000000</v>
          </cell>
          <cell r="E31">
            <v>-1000000000</v>
          </cell>
          <cell r="F31">
            <v>1000000000</v>
          </cell>
          <cell r="G31">
            <v>0</v>
          </cell>
          <cell r="H31">
            <v>137614814.86000001</v>
          </cell>
          <cell r="I31">
            <v>-10642.51</v>
          </cell>
          <cell r="J31">
            <v>137604172.34999999</v>
          </cell>
          <cell r="K31">
            <v>13615693.859999999</v>
          </cell>
          <cell r="L31">
            <v>-132293802316.92</v>
          </cell>
        </row>
        <row r="32">
          <cell r="A32" t="str">
            <v>NA</v>
          </cell>
          <cell r="B32">
            <v>-132445022183.13</v>
          </cell>
          <cell r="C32">
            <v>-925000000</v>
          </cell>
          <cell r="D32">
            <v>-75000000</v>
          </cell>
          <cell r="E32">
            <v>-1000000000</v>
          </cell>
          <cell r="F32">
            <v>1000000000</v>
          </cell>
          <cell r="G32">
            <v>0</v>
          </cell>
          <cell r="H32">
            <v>137614814.86000001</v>
          </cell>
          <cell r="I32">
            <v>-10642.51</v>
          </cell>
          <cell r="J32">
            <v>137604172.34999999</v>
          </cell>
          <cell r="K32">
            <v>13615693.859999999</v>
          </cell>
          <cell r="L32">
            <v>-132293802316.92</v>
          </cell>
        </row>
        <row r="33">
          <cell r="A33" t="str">
            <v>NA</v>
          </cell>
          <cell r="B33">
            <v>-132445022183.13</v>
          </cell>
          <cell r="C33">
            <v>-925000000</v>
          </cell>
          <cell r="D33">
            <v>-75000000</v>
          </cell>
          <cell r="E33">
            <v>-1000000000</v>
          </cell>
          <cell r="F33">
            <v>1000000000</v>
          </cell>
          <cell r="G33">
            <v>0</v>
          </cell>
          <cell r="H33">
            <v>137614814.86000001</v>
          </cell>
          <cell r="I33">
            <v>-10642.51</v>
          </cell>
          <cell r="J33">
            <v>137604172.34999999</v>
          </cell>
          <cell r="K33">
            <v>13615693.859999999</v>
          </cell>
          <cell r="L33">
            <v>-132293802316.92</v>
          </cell>
        </row>
        <row r="34">
          <cell r="A34" t="str">
            <v>Benchmark Notes &amp; Bonds</v>
          </cell>
          <cell r="B34">
            <v>-81739666000</v>
          </cell>
          <cell r="C34">
            <v>0</v>
          </cell>
          <cell r="D34">
            <v>0</v>
          </cell>
          <cell r="E34">
            <v>0</v>
          </cell>
          <cell r="F34">
            <v>1000000000</v>
          </cell>
          <cell r="G34">
            <v>0</v>
          </cell>
          <cell r="H34">
            <v>0</v>
          </cell>
          <cell r="I34">
            <v>0</v>
          </cell>
          <cell r="J34">
            <v>0</v>
          </cell>
          <cell r="K34">
            <v>0</v>
          </cell>
          <cell r="L34">
            <v>-80739666000</v>
          </cell>
        </row>
        <row r="35">
          <cell r="A35" t="str">
            <v>Benchmark Notes &amp; Bonds</v>
          </cell>
          <cell r="B35">
            <v>-81739666000</v>
          </cell>
          <cell r="C35">
            <v>0</v>
          </cell>
          <cell r="D35">
            <v>0</v>
          </cell>
          <cell r="E35">
            <v>0</v>
          </cell>
          <cell r="F35">
            <v>1000000000</v>
          </cell>
          <cell r="G35">
            <v>0</v>
          </cell>
          <cell r="H35">
            <v>0</v>
          </cell>
          <cell r="I35">
            <v>0</v>
          </cell>
          <cell r="J35">
            <v>0</v>
          </cell>
          <cell r="K35">
            <v>0</v>
          </cell>
          <cell r="L35">
            <v>-80739666000</v>
          </cell>
        </row>
        <row r="36">
          <cell r="A36" t="str">
            <v>Callable Fixed Rate MTN</v>
          </cell>
          <cell r="B36">
            <v>-36611290000</v>
          </cell>
          <cell r="C36">
            <v>-925000000</v>
          </cell>
          <cell r="D36">
            <v>-75000000</v>
          </cell>
          <cell r="E36">
            <v>-1000000000</v>
          </cell>
          <cell r="F36">
            <v>0</v>
          </cell>
          <cell r="G36">
            <v>0</v>
          </cell>
          <cell r="H36">
            <v>0</v>
          </cell>
          <cell r="I36">
            <v>0</v>
          </cell>
          <cell r="J36">
            <v>0</v>
          </cell>
          <cell r="K36">
            <v>0</v>
          </cell>
          <cell r="L36">
            <v>-37611290000</v>
          </cell>
        </row>
        <row r="37">
          <cell r="A37" t="str">
            <v>Callable Fixed Rate MTN</v>
          </cell>
          <cell r="B37">
            <v>-36611290000</v>
          </cell>
          <cell r="C37">
            <v>-925000000</v>
          </cell>
          <cell r="D37">
            <v>-75000000</v>
          </cell>
          <cell r="E37">
            <v>-1000000000</v>
          </cell>
          <cell r="F37">
            <v>0</v>
          </cell>
          <cell r="G37">
            <v>0</v>
          </cell>
          <cell r="H37">
            <v>0</v>
          </cell>
          <cell r="I37">
            <v>0</v>
          </cell>
          <cell r="J37">
            <v>0</v>
          </cell>
          <cell r="K37">
            <v>0</v>
          </cell>
          <cell r="L37">
            <v>-37611290000</v>
          </cell>
        </row>
        <row r="38">
          <cell r="A38" t="str">
            <v>LT - CAS</v>
          </cell>
          <cell r="B38">
            <v>-5617760103.4700003</v>
          </cell>
          <cell r="C38">
            <v>0</v>
          </cell>
          <cell r="D38">
            <v>0</v>
          </cell>
          <cell r="E38">
            <v>0</v>
          </cell>
          <cell r="F38">
            <v>0</v>
          </cell>
          <cell r="G38">
            <v>0</v>
          </cell>
          <cell r="H38">
            <v>87614814.859999999</v>
          </cell>
          <cell r="I38">
            <v>-10642.51</v>
          </cell>
          <cell r="J38">
            <v>87604172.349999994</v>
          </cell>
          <cell r="K38">
            <v>0</v>
          </cell>
          <cell r="L38">
            <v>-5530155931.1199999</v>
          </cell>
        </row>
        <row r="39">
          <cell r="A39" t="str">
            <v>LT - CAS</v>
          </cell>
          <cell r="B39">
            <v>-5617760103.4700003</v>
          </cell>
          <cell r="C39">
            <v>0</v>
          </cell>
          <cell r="D39">
            <v>0</v>
          </cell>
          <cell r="E39">
            <v>0</v>
          </cell>
          <cell r="F39">
            <v>0</v>
          </cell>
          <cell r="G39">
            <v>0</v>
          </cell>
          <cell r="H39">
            <v>87614814.859999999</v>
          </cell>
          <cell r="I39">
            <v>-10642.51</v>
          </cell>
          <cell r="J39">
            <v>87604172.349999994</v>
          </cell>
          <cell r="K39">
            <v>0</v>
          </cell>
          <cell r="L39">
            <v>-5530155931.1199999</v>
          </cell>
        </row>
        <row r="40">
          <cell r="A40" t="str">
            <v>LT - FX Debt</v>
          </cell>
          <cell r="B40">
            <v>-301851753.66000003</v>
          </cell>
          <cell r="C40">
            <v>0</v>
          </cell>
          <cell r="D40">
            <v>0</v>
          </cell>
          <cell r="E40">
            <v>0</v>
          </cell>
          <cell r="F40">
            <v>0</v>
          </cell>
          <cell r="G40">
            <v>0</v>
          </cell>
          <cell r="H40">
            <v>0</v>
          </cell>
          <cell r="I40">
            <v>0</v>
          </cell>
          <cell r="J40">
            <v>0</v>
          </cell>
          <cell r="K40">
            <v>13615693.859999999</v>
          </cell>
          <cell r="L40">
            <v>-288236059.80000001</v>
          </cell>
        </row>
        <row r="41">
          <cell r="A41" t="str">
            <v>LT - FX Debt</v>
          </cell>
          <cell r="B41">
            <v>-301851753.66000003</v>
          </cell>
          <cell r="C41">
            <v>0</v>
          </cell>
          <cell r="D41">
            <v>0</v>
          </cell>
          <cell r="E41">
            <v>0</v>
          </cell>
          <cell r="F41">
            <v>0</v>
          </cell>
          <cell r="G41">
            <v>0</v>
          </cell>
          <cell r="H41">
            <v>0</v>
          </cell>
          <cell r="I41">
            <v>0</v>
          </cell>
          <cell r="J41">
            <v>0</v>
          </cell>
          <cell r="K41">
            <v>13615693.859999999</v>
          </cell>
          <cell r="L41">
            <v>-288236059.80000001</v>
          </cell>
        </row>
        <row r="42">
          <cell r="A42" t="str">
            <v>Non-Callable Fixed Rate MTN</v>
          </cell>
          <cell r="B42">
            <v>-8174454326</v>
          </cell>
          <cell r="C42">
            <v>0</v>
          </cell>
          <cell r="D42">
            <v>0</v>
          </cell>
          <cell r="E42">
            <v>0</v>
          </cell>
          <cell r="F42">
            <v>0</v>
          </cell>
          <cell r="G42">
            <v>0</v>
          </cell>
          <cell r="H42">
            <v>50000000</v>
          </cell>
          <cell r="I42">
            <v>0</v>
          </cell>
          <cell r="J42">
            <v>50000000</v>
          </cell>
          <cell r="K42">
            <v>0</v>
          </cell>
          <cell r="L42">
            <v>-8124454326</v>
          </cell>
        </row>
        <row r="43">
          <cell r="A43" t="str">
            <v>Non-Callable Fixed Rate MTN</v>
          </cell>
          <cell r="B43">
            <v>-8174454326</v>
          </cell>
          <cell r="C43">
            <v>0</v>
          </cell>
          <cell r="D43">
            <v>0</v>
          </cell>
          <cell r="E43">
            <v>0</v>
          </cell>
          <cell r="F43">
            <v>0</v>
          </cell>
          <cell r="G43">
            <v>0</v>
          </cell>
          <cell r="H43">
            <v>50000000</v>
          </cell>
          <cell r="I43">
            <v>0</v>
          </cell>
          <cell r="J43">
            <v>50000000</v>
          </cell>
          <cell r="K43">
            <v>0</v>
          </cell>
          <cell r="L43">
            <v>-8124454326</v>
          </cell>
        </row>
        <row r="44">
          <cell r="A44" t="str">
            <v>Total ST Funding + LT Funding Debt (exclude Fed Funds &amp; Repos)</v>
          </cell>
          <cell r="B44">
            <v>-137538230848.70999</v>
          </cell>
          <cell r="C44">
            <v>-1925000000</v>
          </cell>
          <cell r="D44">
            <v>-75000000</v>
          </cell>
          <cell r="E44">
            <v>-2000000000</v>
          </cell>
          <cell r="F44">
            <v>1000000000</v>
          </cell>
          <cell r="G44">
            <v>0</v>
          </cell>
          <cell r="H44">
            <v>1424478145.01</v>
          </cell>
          <cell r="I44">
            <v>-10642.51</v>
          </cell>
          <cell r="J44">
            <v>1424467502.5</v>
          </cell>
          <cell r="K44">
            <v>13615693.859999999</v>
          </cell>
          <cell r="L44">
            <v>-137100147652.35001</v>
          </cell>
        </row>
        <row r="45">
          <cell r="A45" t="str">
            <v>Grand Total:</v>
          </cell>
          <cell r="B45">
            <v>-137538230848.70999</v>
          </cell>
          <cell r="C45">
            <v>-2044843750</v>
          </cell>
          <cell r="D45">
            <v>-75000000</v>
          </cell>
          <cell r="E45">
            <v>-2119843750</v>
          </cell>
          <cell r="F45">
            <v>1000000000</v>
          </cell>
          <cell r="G45">
            <v>0</v>
          </cell>
          <cell r="H45">
            <v>1424478145.01</v>
          </cell>
          <cell r="I45">
            <v>-10642.51</v>
          </cell>
          <cell r="J45">
            <v>1424467502.5</v>
          </cell>
          <cell r="K45">
            <v>13615693.859999999</v>
          </cell>
          <cell r="L45">
            <v>-137219991402.35001</v>
          </cell>
        </row>
      </sheetData>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GL Balances"/>
      <sheetName val="GL Tie out"/>
      <sheetName val=" Funding Summary"/>
      <sheetName val="Summary"/>
      <sheetName val="CUSIP Details"/>
    </sheetNames>
    <sheetDataSet>
      <sheetData sheetId="0"/>
      <sheetData sheetId="1"/>
      <sheetData sheetId="2"/>
      <sheetData sheetId="3">
        <row r="5">
          <cell r="A5" t="str">
            <v>Enter Accounting Framework:</v>
          </cell>
          <cell r="B5" t="str">
            <v>GAAP Accounting</v>
          </cell>
        </row>
        <row r="7">
          <cell r="A7" t="str">
            <v>Date and Time: 10/04/2022 05:19 PM</v>
          </cell>
        </row>
        <row r="8">
          <cell r="A8" t="str">
            <v>Report Environment: PROD</v>
          </cell>
        </row>
        <row r="9">
          <cell r="A9" t="str">
            <v>Report Description: This report shows Debt redemption value (UPB) activity, walking forward from beginning balance to ending balance. All Debt is represented in USD Equivalent only</v>
          </cell>
        </row>
        <row r="10">
          <cell r="A10" t="str">
            <v>Term Type</v>
          </cell>
          <cell r="B10" t="str">
            <v>Beginning Balance</v>
          </cell>
          <cell r="C10" t="str">
            <v>New Issues (-)</v>
          </cell>
          <cell r="D10" t="str">
            <v>Re-opens (-)</v>
          </cell>
          <cell r="E10" t="str">
            <v>Total Issuances (-)</v>
          </cell>
          <cell r="F10" t="str">
            <v>Repurchases (+)</v>
          </cell>
          <cell r="G10" t="str">
            <v>Calls / Puts (+)</v>
          </cell>
          <cell r="H10" t="str">
            <v>Scheduled Paydown / Maturites (+)</v>
          </cell>
          <cell r="I10" t="str">
            <v>Non-Cash Principal Adjustment</v>
          </cell>
          <cell r="J10" t="str">
            <v>Total Redemptions (+)</v>
          </cell>
          <cell r="K10" t="str">
            <v>FX Translation Gain / (Loss)</v>
          </cell>
          <cell r="L10" t="str">
            <v>Report Calculated Ending Balance</v>
          </cell>
        </row>
        <row r="11">
          <cell r="A11" t="str">
            <v>Total Fed Funds Purchased &amp; Repo</v>
          </cell>
          <cell r="B11">
            <v>-119843750</v>
          </cell>
          <cell r="C11">
            <v>0</v>
          </cell>
          <cell r="D11">
            <v>0</v>
          </cell>
          <cell r="E11">
            <v>0</v>
          </cell>
          <cell r="F11">
            <v>0</v>
          </cell>
          <cell r="G11">
            <v>0</v>
          </cell>
          <cell r="H11">
            <v>119843750</v>
          </cell>
          <cell r="I11">
            <v>0</v>
          </cell>
          <cell r="J11">
            <v>119843750</v>
          </cell>
          <cell r="K11">
            <v>0</v>
          </cell>
          <cell r="L11">
            <v>0</v>
          </cell>
        </row>
        <row r="12">
          <cell r="A12" t="str">
            <v>Non-Fair Value Option</v>
          </cell>
          <cell r="B12">
            <v>-119843750</v>
          </cell>
          <cell r="C12">
            <v>0</v>
          </cell>
          <cell r="D12">
            <v>0</v>
          </cell>
          <cell r="E12">
            <v>0</v>
          </cell>
          <cell r="F12">
            <v>0</v>
          </cell>
          <cell r="G12">
            <v>0</v>
          </cell>
          <cell r="H12">
            <v>119843750</v>
          </cell>
          <cell r="I12">
            <v>0</v>
          </cell>
          <cell r="J12">
            <v>119843750</v>
          </cell>
          <cell r="K12">
            <v>0</v>
          </cell>
          <cell r="L12">
            <v>0</v>
          </cell>
        </row>
        <row r="13">
          <cell r="A13" t="str">
            <v>NA</v>
          </cell>
          <cell r="B13">
            <v>-119843750</v>
          </cell>
          <cell r="C13">
            <v>0</v>
          </cell>
          <cell r="D13">
            <v>0</v>
          </cell>
          <cell r="E13">
            <v>0</v>
          </cell>
          <cell r="F13">
            <v>0</v>
          </cell>
          <cell r="G13">
            <v>0</v>
          </cell>
          <cell r="H13">
            <v>119843750</v>
          </cell>
          <cell r="I13">
            <v>0</v>
          </cell>
          <cell r="J13">
            <v>119843750</v>
          </cell>
          <cell r="K13">
            <v>0</v>
          </cell>
          <cell r="L13">
            <v>0</v>
          </cell>
        </row>
        <row r="14">
          <cell r="A14" t="str">
            <v>NA</v>
          </cell>
          <cell r="B14">
            <v>-119843750</v>
          </cell>
          <cell r="C14">
            <v>0</v>
          </cell>
          <cell r="D14">
            <v>0</v>
          </cell>
          <cell r="E14">
            <v>0</v>
          </cell>
          <cell r="F14">
            <v>0</v>
          </cell>
          <cell r="G14">
            <v>0</v>
          </cell>
          <cell r="H14">
            <v>119843750</v>
          </cell>
          <cell r="I14">
            <v>0</v>
          </cell>
          <cell r="J14">
            <v>119843750</v>
          </cell>
          <cell r="K14">
            <v>0</v>
          </cell>
          <cell r="L14">
            <v>0</v>
          </cell>
        </row>
        <row r="15">
          <cell r="A15" t="str">
            <v>DVP Repo</v>
          </cell>
          <cell r="B15">
            <v>-119843750</v>
          </cell>
          <cell r="C15">
            <v>0</v>
          </cell>
          <cell r="D15">
            <v>0</v>
          </cell>
          <cell r="E15">
            <v>0</v>
          </cell>
          <cell r="F15">
            <v>0</v>
          </cell>
          <cell r="G15">
            <v>0</v>
          </cell>
          <cell r="H15">
            <v>119843750</v>
          </cell>
          <cell r="I15">
            <v>0</v>
          </cell>
          <cell r="J15">
            <v>119843750</v>
          </cell>
          <cell r="K15">
            <v>0</v>
          </cell>
          <cell r="L15">
            <v>0</v>
          </cell>
        </row>
        <row r="16">
          <cell r="A16" t="str">
            <v>DVP Repo</v>
          </cell>
          <cell r="B16">
            <v>-119843750</v>
          </cell>
          <cell r="C16">
            <v>0</v>
          </cell>
          <cell r="D16">
            <v>0</v>
          </cell>
          <cell r="E16">
            <v>0</v>
          </cell>
          <cell r="F16">
            <v>0</v>
          </cell>
          <cell r="G16">
            <v>0</v>
          </cell>
          <cell r="H16">
            <v>119843750</v>
          </cell>
          <cell r="I16">
            <v>0</v>
          </cell>
          <cell r="J16">
            <v>119843750</v>
          </cell>
          <cell r="K16">
            <v>0</v>
          </cell>
          <cell r="L16">
            <v>0</v>
          </cell>
        </row>
        <row r="17">
          <cell r="A17" t="str">
            <v>Total Short Term Funding Term</v>
          </cell>
          <cell r="B17">
            <v>-3045000000</v>
          </cell>
          <cell r="C17">
            <v>-11700000000</v>
          </cell>
          <cell r="D17">
            <v>0</v>
          </cell>
          <cell r="E17">
            <v>-11700000000</v>
          </cell>
          <cell r="F17">
            <v>0</v>
          </cell>
          <cell r="G17">
            <v>0</v>
          </cell>
          <cell r="H17">
            <v>11750000000</v>
          </cell>
          <cell r="I17">
            <v>0</v>
          </cell>
          <cell r="J17">
            <v>11750000000</v>
          </cell>
          <cell r="K17">
            <v>0</v>
          </cell>
          <cell r="L17">
            <v>-2995000000</v>
          </cell>
        </row>
        <row r="18">
          <cell r="A18" t="str">
            <v>Non-Fair Value Option</v>
          </cell>
          <cell r="B18">
            <v>-3045000000</v>
          </cell>
          <cell r="C18">
            <v>-11700000000</v>
          </cell>
          <cell r="D18">
            <v>0</v>
          </cell>
          <cell r="E18">
            <v>-11700000000</v>
          </cell>
          <cell r="F18">
            <v>0</v>
          </cell>
          <cell r="G18">
            <v>0</v>
          </cell>
          <cell r="H18">
            <v>11750000000</v>
          </cell>
          <cell r="I18">
            <v>0</v>
          </cell>
          <cell r="J18">
            <v>11750000000</v>
          </cell>
          <cell r="K18">
            <v>0</v>
          </cell>
          <cell r="L18">
            <v>-2995000000</v>
          </cell>
        </row>
        <row r="19">
          <cell r="A19" t="str">
            <v>NA</v>
          </cell>
          <cell r="B19">
            <v>-3045000000</v>
          </cell>
          <cell r="C19">
            <v>-11700000000</v>
          </cell>
          <cell r="D19">
            <v>0</v>
          </cell>
          <cell r="E19">
            <v>-11700000000</v>
          </cell>
          <cell r="F19">
            <v>0</v>
          </cell>
          <cell r="G19">
            <v>0</v>
          </cell>
          <cell r="H19">
            <v>11750000000</v>
          </cell>
          <cell r="I19">
            <v>0</v>
          </cell>
          <cell r="J19">
            <v>11750000000</v>
          </cell>
          <cell r="K19">
            <v>0</v>
          </cell>
          <cell r="L19">
            <v>-2995000000</v>
          </cell>
        </row>
        <row r="20">
          <cell r="A20" t="str">
            <v>NA</v>
          </cell>
          <cell r="B20">
            <v>-3045000000</v>
          </cell>
          <cell r="C20">
            <v>-11700000000</v>
          </cell>
          <cell r="D20">
            <v>0</v>
          </cell>
          <cell r="E20">
            <v>-11700000000</v>
          </cell>
          <cell r="F20">
            <v>0</v>
          </cell>
          <cell r="G20">
            <v>0</v>
          </cell>
          <cell r="H20">
            <v>11750000000</v>
          </cell>
          <cell r="I20">
            <v>0</v>
          </cell>
          <cell r="J20">
            <v>11750000000</v>
          </cell>
          <cell r="K20">
            <v>0</v>
          </cell>
          <cell r="L20">
            <v>-2995000000</v>
          </cell>
        </row>
        <row r="21">
          <cell r="A21" t="str">
            <v>ST-Debt</v>
          </cell>
          <cell r="B21">
            <v>-3045000000</v>
          </cell>
          <cell r="C21">
            <v>-11700000000</v>
          </cell>
          <cell r="D21">
            <v>0</v>
          </cell>
          <cell r="E21">
            <v>-11700000000</v>
          </cell>
          <cell r="F21">
            <v>0</v>
          </cell>
          <cell r="G21">
            <v>0</v>
          </cell>
          <cell r="H21">
            <v>11750000000</v>
          </cell>
          <cell r="I21">
            <v>0</v>
          </cell>
          <cell r="J21">
            <v>11750000000</v>
          </cell>
          <cell r="K21">
            <v>0</v>
          </cell>
          <cell r="L21">
            <v>-2995000000</v>
          </cell>
        </row>
        <row r="22">
          <cell r="A22" t="str">
            <v>ST-Debt</v>
          </cell>
          <cell r="B22">
            <v>-3045000000</v>
          </cell>
          <cell r="C22">
            <v>-11700000000</v>
          </cell>
          <cell r="D22">
            <v>0</v>
          </cell>
          <cell r="E22">
            <v>-11700000000</v>
          </cell>
          <cell r="F22">
            <v>0</v>
          </cell>
          <cell r="G22">
            <v>0</v>
          </cell>
          <cell r="H22">
            <v>11750000000</v>
          </cell>
          <cell r="I22">
            <v>0</v>
          </cell>
          <cell r="J22">
            <v>11750000000</v>
          </cell>
          <cell r="K22">
            <v>0</v>
          </cell>
          <cell r="L22">
            <v>-2995000000</v>
          </cell>
        </row>
        <row r="23">
          <cell r="A23" t="str">
            <v>Total Long Term Funding Debt</v>
          </cell>
          <cell r="B23">
            <v>-134055147652.35001</v>
          </cell>
          <cell r="C23">
            <v>0</v>
          </cell>
          <cell r="D23">
            <v>0</v>
          </cell>
          <cell r="E23">
            <v>0</v>
          </cell>
          <cell r="F23">
            <v>0</v>
          </cell>
          <cell r="G23">
            <v>0</v>
          </cell>
          <cell r="H23">
            <v>2124640431.79</v>
          </cell>
          <cell r="I23">
            <v>170074.02</v>
          </cell>
          <cell r="J23">
            <v>2124810505.8099999</v>
          </cell>
          <cell r="K23">
            <v>11210006.800000001</v>
          </cell>
          <cell r="L23">
            <v>-131919127139.74001</v>
          </cell>
        </row>
        <row r="24">
          <cell r="A24" t="str">
            <v>Fair Value Option</v>
          </cell>
          <cell r="B24">
            <v>-1761345335.4300001</v>
          </cell>
          <cell r="C24">
            <v>0</v>
          </cell>
          <cell r="D24">
            <v>0</v>
          </cell>
          <cell r="E24">
            <v>0</v>
          </cell>
          <cell r="F24">
            <v>0</v>
          </cell>
          <cell r="G24">
            <v>0</v>
          </cell>
          <cell r="H24">
            <v>29321211.73</v>
          </cell>
          <cell r="I24">
            <v>0</v>
          </cell>
          <cell r="J24">
            <v>29321211.73</v>
          </cell>
          <cell r="K24">
            <v>0</v>
          </cell>
          <cell r="L24">
            <v>-1732024123.7</v>
          </cell>
        </row>
        <row r="25">
          <cell r="A25" t="str">
            <v>NA</v>
          </cell>
          <cell r="B25">
            <v>-1761345335.4300001</v>
          </cell>
          <cell r="C25">
            <v>0</v>
          </cell>
          <cell r="D25">
            <v>0</v>
          </cell>
          <cell r="E25">
            <v>0</v>
          </cell>
          <cell r="F25">
            <v>0</v>
          </cell>
          <cell r="G25">
            <v>0</v>
          </cell>
          <cell r="H25">
            <v>29321211.73</v>
          </cell>
          <cell r="I25">
            <v>0</v>
          </cell>
          <cell r="J25">
            <v>29321211.73</v>
          </cell>
          <cell r="K25">
            <v>0</v>
          </cell>
          <cell r="L25">
            <v>-1732024123.7</v>
          </cell>
        </row>
        <row r="26">
          <cell r="A26" t="str">
            <v>NA</v>
          </cell>
          <cell r="B26">
            <v>-1761345335.4300001</v>
          </cell>
          <cell r="C26">
            <v>0</v>
          </cell>
          <cell r="D26">
            <v>0</v>
          </cell>
          <cell r="E26">
            <v>0</v>
          </cell>
          <cell r="F26">
            <v>0</v>
          </cell>
          <cell r="G26">
            <v>0</v>
          </cell>
          <cell r="H26">
            <v>29321211.73</v>
          </cell>
          <cell r="I26">
            <v>0</v>
          </cell>
          <cell r="J26">
            <v>29321211.73</v>
          </cell>
          <cell r="K26">
            <v>0</v>
          </cell>
          <cell r="L26">
            <v>-1732024123.7</v>
          </cell>
        </row>
        <row r="27">
          <cell r="A27" t="str">
            <v>LT - CAS</v>
          </cell>
          <cell r="B27">
            <v>-1511345335.4300001</v>
          </cell>
          <cell r="C27">
            <v>0</v>
          </cell>
          <cell r="D27">
            <v>0</v>
          </cell>
          <cell r="E27">
            <v>0</v>
          </cell>
          <cell r="F27">
            <v>0</v>
          </cell>
          <cell r="G27">
            <v>0</v>
          </cell>
          <cell r="H27">
            <v>29321211.73</v>
          </cell>
          <cell r="I27">
            <v>0</v>
          </cell>
          <cell r="J27">
            <v>29321211.73</v>
          </cell>
          <cell r="K27">
            <v>0</v>
          </cell>
          <cell r="L27">
            <v>-1482024123.7</v>
          </cell>
        </row>
        <row r="28">
          <cell r="A28" t="str">
            <v>LT - CAS</v>
          </cell>
          <cell r="B28">
            <v>-1511345335.4300001</v>
          </cell>
          <cell r="C28">
            <v>0</v>
          </cell>
          <cell r="D28">
            <v>0</v>
          </cell>
          <cell r="E28">
            <v>0</v>
          </cell>
          <cell r="F28">
            <v>0</v>
          </cell>
          <cell r="G28">
            <v>0</v>
          </cell>
          <cell r="H28">
            <v>29321211.73</v>
          </cell>
          <cell r="I28">
            <v>0</v>
          </cell>
          <cell r="J28">
            <v>29321211.73</v>
          </cell>
          <cell r="K28">
            <v>0</v>
          </cell>
          <cell r="L28">
            <v>-1482024123.7</v>
          </cell>
        </row>
        <row r="29">
          <cell r="A29" t="str">
            <v>Non-Callable Floating Rate MTN</v>
          </cell>
          <cell r="B29">
            <v>-250000000</v>
          </cell>
          <cell r="C29">
            <v>0</v>
          </cell>
          <cell r="D29">
            <v>0</v>
          </cell>
          <cell r="E29">
            <v>0</v>
          </cell>
          <cell r="F29">
            <v>0</v>
          </cell>
          <cell r="G29">
            <v>0</v>
          </cell>
          <cell r="H29">
            <v>0</v>
          </cell>
          <cell r="I29">
            <v>0</v>
          </cell>
          <cell r="J29">
            <v>0</v>
          </cell>
          <cell r="K29">
            <v>0</v>
          </cell>
          <cell r="L29">
            <v>-250000000</v>
          </cell>
        </row>
        <row r="30">
          <cell r="A30" t="str">
            <v>Non-Callable Floating Rate MTN</v>
          </cell>
          <cell r="B30">
            <v>-250000000</v>
          </cell>
          <cell r="C30">
            <v>0</v>
          </cell>
          <cell r="D30">
            <v>0</v>
          </cell>
          <cell r="E30">
            <v>0</v>
          </cell>
          <cell r="F30">
            <v>0</v>
          </cell>
          <cell r="G30">
            <v>0</v>
          </cell>
          <cell r="H30">
            <v>0</v>
          </cell>
          <cell r="I30">
            <v>0</v>
          </cell>
          <cell r="J30">
            <v>0</v>
          </cell>
          <cell r="K30">
            <v>0</v>
          </cell>
          <cell r="L30">
            <v>-250000000</v>
          </cell>
        </row>
        <row r="31">
          <cell r="A31" t="str">
            <v>Non-Fair Value Option</v>
          </cell>
          <cell r="B31">
            <v>-132293802316.92</v>
          </cell>
          <cell r="C31">
            <v>0</v>
          </cell>
          <cell r="D31">
            <v>0</v>
          </cell>
          <cell r="E31">
            <v>0</v>
          </cell>
          <cell r="F31">
            <v>0</v>
          </cell>
          <cell r="G31">
            <v>0</v>
          </cell>
          <cell r="H31">
            <v>2095319220.0599999</v>
          </cell>
          <cell r="I31">
            <v>170074.02</v>
          </cell>
          <cell r="J31">
            <v>2095489294.0799999</v>
          </cell>
          <cell r="K31">
            <v>11210006.800000001</v>
          </cell>
          <cell r="L31">
            <v>-130187103016.03999</v>
          </cell>
        </row>
        <row r="32">
          <cell r="A32" t="str">
            <v>NA</v>
          </cell>
          <cell r="B32">
            <v>-132293802316.92</v>
          </cell>
          <cell r="C32">
            <v>0</v>
          </cell>
          <cell r="D32">
            <v>0</v>
          </cell>
          <cell r="E32">
            <v>0</v>
          </cell>
          <cell r="F32">
            <v>0</v>
          </cell>
          <cell r="G32">
            <v>0</v>
          </cell>
          <cell r="H32">
            <v>2095319220.0599999</v>
          </cell>
          <cell r="I32">
            <v>170074.02</v>
          </cell>
          <cell r="J32">
            <v>2095489294.0799999</v>
          </cell>
          <cell r="K32">
            <v>11210006.800000001</v>
          </cell>
          <cell r="L32">
            <v>-130187103016.03999</v>
          </cell>
        </row>
        <row r="33">
          <cell r="A33" t="str">
            <v>NA</v>
          </cell>
          <cell r="B33">
            <v>-132293802316.92</v>
          </cell>
          <cell r="C33">
            <v>0</v>
          </cell>
          <cell r="D33">
            <v>0</v>
          </cell>
          <cell r="E33">
            <v>0</v>
          </cell>
          <cell r="F33">
            <v>0</v>
          </cell>
          <cell r="G33">
            <v>0</v>
          </cell>
          <cell r="H33">
            <v>2095319220.0599999</v>
          </cell>
          <cell r="I33">
            <v>170074.02</v>
          </cell>
          <cell r="J33">
            <v>2095489294.0799999</v>
          </cell>
          <cell r="K33">
            <v>11210006.800000001</v>
          </cell>
          <cell r="L33">
            <v>-130187103016.03999</v>
          </cell>
        </row>
        <row r="34">
          <cell r="A34" t="str">
            <v>Benchmark Notes &amp; Bonds</v>
          </cell>
          <cell r="B34">
            <v>-80739666000</v>
          </cell>
          <cell r="C34">
            <v>0</v>
          </cell>
          <cell r="D34">
            <v>0</v>
          </cell>
          <cell r="E34">
            <v>0</v>
          </cell>
          <cell r="F34">
            <v>0</v>
          </cell>
          <cell r="G34">
            <v>0</v>
          </cell>
          <cell r="H34">
            <v>2000000000</v>
          </cell>
          <cell r="I34">
            <v>0</v>
          </cell>
          <cell r="J34">
            <v>2000000000</v>
          </cell>
          <cell r="K34">
            <v>0</v>
          </cell>
          <cell r="L34">
            <v>-78739666000</v>
          </cell>
        </row>
        <row r="35">
          <cell r="A35" t="str">
            <v>Benchmark Notes &amp; Bonds</v>
          </cell>
          <cell r="B35">
            <v>-80739666000</v>
          </cell>
          <cell r="C35">
            <v>0</v>
          </cell>
          <cell r="D35">
            <v>0</v>
          </cell>
          <cell r="E35">
            <v>0</v>
          </cell>
          <cell r="F35">
            <v>0</v>
          </cell>
          <cell r="G35">
            <v>0</v>
          </cell>
          <cell r="H35">
            <v>2000000000</v>
          </cell>
          <cell r="I35">
            <v>0</v>
          </cell>
          <cell r="J35">
            <v>2000000000</v>
          </cell>
          <cell r="K35">
            <v>0</v>
          </cell>
          <cell r="L35">
            <v>-78739666000</v>
          </cell>
        </row>
        <row r="36">
          <cell r="A36" t="str">
            <v>Callable Fixed Rate MTN</v>
          </cell>
          <cell r="B36">
            <v>-37596290000</v>
          </cell>
          <cell r="C36">
            <v>0</v>
          </cell>
          <cell r="D36">
            <v>0</v>
          </cell>
          <cell r="E36">
            <v>0</v>
          </cell>
          <cell r="F36">
            <v>0</v>
          </cell>
          <cell r="G36">
            <v>0</v>
          </cell>
          <cell r="H36">
            <v>0</v>
          </cell>
          <cell r="I36">
            <v>0</v>
          </cell>
          <cell r="J36">
            <v>0</v>
          </cell>
          <cell r="K36">
            <v>0</v>
          </cell>
          <cell r="L36">
            <v>-37596290000</v>
          </cell>
        </row>
        <row r="37">
          <cell r="A37" t="str">
            <v>Callable Fixed Rate MTN</v>
          </cell>
          <cell r="B37">
            <v>-37596290000</v>
          </cell>
          <cell r="C37">
            <v>0</v>
          </cell>
          <cell r="D37">
            <v>0</v>
          </cell>
          <cell r="E37">
            <v>0</v>
          </cell>
          <cell r="F37">
            <v>0</v>
          </cell>
          <cell r="G37">
            <v>0</v>
          </cell>
          <cell r="H37">
            <v>0</v>
          </cell>
          <cell r="I37">
            <v>0</v>
          </cell>
          <cell r="J37">
            <v>0</v>
          </cell>
          <cell r="K37">
            <v>0</v>
          </cell>
          <cell r="L37">
            <v>-37596290000</v>
          </cell>
        </row>
        <row r="38">
          <cell r="A38" t="str">
            <v>LT - CAS</v>
          </cell>
          <cell r="B38">
            <v>-5530155931.1199999</v>
          </cell>
          <cell r="C38">
            <v>0</v>
          </cell>
          <cell r="D38">
            <v>0</v>
          </cell>
          <cell r="E38">
            <v>0</v>
          </cell>
          <cell r="F38">
            <v>0</v>
          </cell>
          <cell r="G38">
            <v>0</v>
          </cell>
          <cell r="H38">
            <v>65319220.060000002</v>
          </cell>
          <cell r="I38">
            <v>170074.02</v>
          </cell>
          <cell r="J38">
            <v>65489294.079999998</v>
          </cell>
          <cell r="K38">
            <v>0</v>
          </cell>
          <cell r="L38">
            <v>-5464666637.04</v>
          </cell>
        </row>
        <row r="39">
          <cell r="A39" t="str">
            <v>LT - CAS</v>
          </cell>
          <cell r="B39">
            <v>-5530155931.1199999</v>
          </cell>
          <cell r="C39">
            <v>0</v>
          </cell>
          <cell r="D39">
            <v>0</v>
          </cell>
          <cell r="E39">
            <v>0</v>
          </cell>
          <cell r="F39">
            <v>0</v>
          </cell>
          <cell r="G39">
            <v>0</v>
          </cell>
          <cell r="H39">
            <v>65319220.060000002</v>
          </cell>
          <cell r="I39">
            <v>170074.02</v>
          </cell>
          <cell r="J39">
            <v>65489294.079999998</v>
          </cell>
          <cell r="K39">
            <v>0</v>
          </cell>
          <cell r="L39">
            <v>-5464666637.04</v>
          </cell>
        </row>
        <row r="40">
          <cell r="A40" t="str">
            <v>LT - FX Debt</v>
          </cell>
          <cell r="B40">
            <v>-288236059.80000001</v>
          </cell>
          <cell r="C40">
            <v>0</v>
          </cell>
          <cell r="D40">
            <v>0</v>
          </cell>
          <cell r="E40">
            <v>0</v>
          </cell>
          <cell r="F40">
            <v>0</v>
          </cell>
          <cell r="G40">
            <v>0</v>
          </cell>
          <cell r="H40">
            <v>0</v>
          </cell>
          <cell r="I40">
            <v>0</v>
          </cell>
          <cell r="J40">
            <v>0</v>
          </cell>
          <cell r="K40">
            <v>11210006.800000001</v>
          </cell>
          <cell r="L40">
            <v>-277026053</v>
          </cell>
        </row>
        <row r="41">
          <cell r="A41" t="str">
            <v>LT - FX Debt</v>
          </cell>
          <cell r="B41">
            <v>-288236059.80000001</v>
          </cell>
          <cell r="C41">
            <v>0</v>
          </cell>
          <cell r="D41">
            <v>0</v>
          </cell>
          <cell r="E41">
            <v>0</v>
          </cell>
          <cell r="F41">
            <v>0</v>
          </cell>
          <cell r="G41">
            <v>0</v>
          </cell>
          <cell r="H41">
            <v>0</v>
          </cell>
          <cell r="I41">
            <v>0</v>
          </cell>
          <cell r="J41">
            <v>0</v>
          </cell>
          <cell r="K41">
            <v>11210006.800000001</v>
          </cell>
          <cell r="L41">
            <v>-277026053</v>
          </cell>
        </row>
        <row r="42">
          <cell r="A42" t="str">
            <v>Non-Callable Fixed Rate MTN</v>
          </cell>
          <cell r="B42">
            <v>-8139454326</v>
          </cell>
          <cell r="C42">
            <v>0</v>
          </cell>
          <cell r="D42">
            <v>0</v>
          </cell>
          <cell r="E42">
            <v>0</v>
          </cell>
          <cell r="F42">
            <v>0</v>
          </cell>
          <cell r="G42">
            <v>0</v>
          </cell>
          <cell r="H42">
            <v>30000000</v>
          </cell>
          <cell r="I42">
            <v>0</v>
          </cell>
          <cell r="J42">
            <v>30000000</v>
          </cell>
          <cell r="K42">
            <v>0</v>
          </cell>
          <cell r="L42">
            <v>-8109454326</v>
          </cell>
        </row>
        <row r="43">
          <cell r="A43" t="str">
            <v>Non-Callable Fixed Rate MTN</v>
          </cell>
          <cell r="B43">
            <v>-8139454326</v>
          </cell>
          <cell r="C43">
            <v>0</v>
          </cell>
          <cell r="D43">
            <v>0</v>
          </cell>
          <cell r="E43">
            <v>0</v>
          </cell>
          <cell r="F43">
            <v>0</v>
          </cell>
          <cell r="G43">
            <v>0</v>
          </cell>
          <cell r="H43">
            <v>30000000</v>
          </cell>
          <cell r="I43">
            <v>0</v>
          </cell>
          <cell r="J43">
            <v>30000000</v>
          </cell>
          <cell r="K43">
            <v>0</v>
          </cell>
          <cell r="L43">
            <v>-8109454326</v>
          </cell>
        </row>
        <row r="44">
          <cell r="A44" t="str">
            <v>Total ST Funding + LT Funding Debt (exclude Fed Funds &amp; Repos)</v>
          </cell>
          <cell r="B44">
            <v>-137100147652.35001</v>
          </cell>
          <cell r="C44">
            <v>-11700000000</v>
          </cell>
          <cell r="D44">
            <v>0</v>
          </cell>
          <cell r="E44">
            <v>-11700000000</v>
          </cell>
          <cell r="F44">
            <v>0</v>
          </cell>
          <cell r="G44">
            <v>0</v>
          </cell>
          <cell r="H44">
            <v>13874640431.790001</v>
          </cell>
          <cell r="I44">
            <v>170074.02</v>
          </cell>
          <cell r="J44">
            <v>13874810505.809999</v>
          </cell>
          <cell r="K44">
            <v>11210006.800000001</v>
          </cell>
          <cell r="L44">
            <v>-134914127139.74001</v>
          </cell>
        </row>
        <row r="45">
          <cell r="A45" t="str">
            <v>Grand Total:</v>
          </cell>
          <cell r="B45">
            <v>-137219991402.35001</v>
          </cell>
          <cell r="C45">
            <v>-11700000000</v>
          </cell>
          <cell r="D45">
            <v>0</v>
          </cell>
          <cell r="E45">
            <v>-11700000000</v>
          </cell>
          <cell r="F45">
            <v>0</v>
          </cell>
          <cell r="G45">
            <v>0</v>
          </cell>
          <cell r="H45">
            <v>13994484181.790001</v>
          </cell>
          <cell r="I45">
            <v>170074.02</v>
          </cell>
          <cell r="J45">
            <v>13994654255.809999</v>
          </cell>
          <cell r="K45">
            <v>11210006.800000001</v>
          </cell>
          <cell r="L45">
            <v>-134914127139.74001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F9DA3-9E23-4765-B1EC-D5DC57A2FB68}">
  <dimension ref="A1:J28"/>
  <sheetViews>
    <sheetView zoomScale="75" zoomScaleNormal="75" workbookViewId="0">
      <selection activeCell="B4" sqref="B4:H4"/>
    </sheetView>
  </sheetViews>
  <sheetFormatPr defaultColWidth="9.08984375" defaultRowHeight="13" x14ac:dyDescent="0.3"/>
  <cols>
    <col min="1" max="1" width="2" style="28" customWidth="1"/>
    <col min="2" max="2" width="25.6328125" style="34" customWidth="1"/>
    <col min="3" max="3" width="25.6328125" style="31" customWidth="1"/>
    <col min="4" max="8" width="25.6328125" style="32" customWidth="1"/>
    <col min="9" max="9" width="9.08984375" style="33"/>
    <col min="10" max="10" width="17.36328125" style="33" bestFit="1" customWidth="1"/>
    <col min="11" max="16384" width="9.08984375" style="33"/>
  </cols>
  <sheetData>
    <row r="1" spans="1:10" s="27" customFormat="1" ht="6.9" customHeight="1" x14ac:dyDescent="0.3">
      <c r="A1" s="23"/>
      <c r="B1" s="24"/>
      <c r="C1" s="25"/>
      <c r="D1" s="26"/>
      <c r="E1" s="26"/>
      <c r="F1" s="26"/>
      <c r="G1" s="26"/>
      <c r="H1" s="26"/>
    </row>
    <row r="2" spans="1:10" s="27" customFormat="1" ht="21.5" customHeight="1" x14ac:dyDescent="0.3">
      <c r="A2" s="23"/>
      <c r="B2" s="28"/>
      <c r="C2" s="25"/>
      <c r="D2" s="26"/>
      <c r="E2" s="26"/>
      <c r="F2" s="26"/>
      <c r="G2" s="26"/>
      <c r="H2" s="26"/>
    </row>
    <row r="3" spans="1:10" s="27" customFormat="1" ht="18.149999999999999" customHeight="1" x14ac:dyDescent="0.3">
      <c r="A3" s="23"/>
      <c r="B3" s="29"/>
      <c r="C3" s="25"/>
      <c r="D3" s="26"/>
      <c r="E3" s="26"/>
      <c r="F3" s="26"/>
      <c r="G3" s="26"/>
      <c r="H3" s="26"/>
    </row>
    <row r="4" spans="1:10" s="27" customFormat="1" ht="20.9" customHeight="1" thickBot="1" x14ac:dyDescent="0.6">
      <c r="A4" s="23"/>
      <c r="B4" s="72" t="s">
        <v>28</v>
      </c>
      <c r="C4" s="72"/>
      <c r="D4" s="72"/>
      <c r="E4" s="72"/>
      <c r="F4" s="72"/>
      <c r="G4" s="72"/>
      <c r="H4" s="72"/>
    </row>
    <row r="5" spans="1:10" s="27" customFormat="1" ht="57.75" customHeight="1" x14ac:dyDescent="0.3">
      <c r="A5" s="23"/>
      <c r="B5" s="2" t="s">
        <v>0</v>
      </c>
      <c r="C5" s="3" t="s">
        <v>1</v>
      </c>
      <c r="D5" s="4" t="s">
        <v>14</v>
      </c>
      <c r="E5" s="4" t="s">
        <v>15</v>
      </c>
      <c r="F5" s="4" t="s">
        <v>16</v>
      </c>
      <c r="G5" s="4" t="s">
        <v>17</v>
      </c>
      <c r="H5" s="5" t="s">
        <v>18</v>
      </c>
    </row>
    <row r="6" spans="1:10" s="27" customFormat="1" ht="39.9" customHeight="1" x14ac:dyDescent="0.4">
      <c r="A6" s="23"/>
      <c r="B6" s="73" t="s">
        <v>19</v>
      </c>
      <c r="C6" s="6" t="s">
        <v>2</v>
      </c>
      <c r="D6" s="7">
        <f>-VLOOKUP(C6,[1]Summary!$A$5:$B$45,2,0)</f>
        <v>2795000000</v>
      </c>
      <c r="E6" s="7">
        <f>-VLOOKUP(C6,[1]Summary!$A$5:$E$45,5,0)</f>
        <v>10900000000</v>
      </c>
      <c r="F6" s="7">
        <f>-VLOOKUP(C6,[1]Summary!$A$5:$J$45,10,0)</f>
        <v>-11150000000</v>
      </c>
      <c r="G6" s="7">
        <v>0</v>
      </c>
      <c r="H6" s="8">
        <f>-VLOOKUP(C6,[1]Summary!$A$5:$L$45,12,0)</f>
        <v>2545000000</v>
      </c>
    </row>
    <row r="7" spans="1:10" s="27" customFormat="1" ht="39.9" customHeight="1" x14ac:dyDescent="0.4">
      <c r="A7" s="23"/>
      <c r="B7" s="74"/>
      <c r="C7" s="6" t="s">
        <v>3</v>
      </c>
      <c r="D7" s="7">
        <v>0</v>
      </c>
      <c r="E7" s="7">
        <v>0</v>
      </c>
      <c r="F7" s="7">
        <v>0</v>
      </c>
      <c r="G7" s="7">
        <v>0</v>
      </c>
      <c r="H7" s="8">
        <v>0</v>
      </c>
    </row>
    <row r="8" spans="1:10" s="27" customFormat="1" ht="39.9" customHeight="1" x14ac:dyDescent="0.4">
      <c r="A8" s="23"/>
      <c r="B8" s="75" t="s">
        <v>4</v>
      </c>
      <c r="C8" s="76"/>
      <c r="D8" s="9">
        <f>SUM(D6:D7)</f>
        <v>2795000000</v>
      </c>
      <c r="E8" s="9">
        <f t="shared" ref="E8:H8" si="0">SUM(E6:E7)</f>
        <v>10900000000</v>
      </c>
      <c r="F8" s="9">
        <f t="shared" si="0"/>
        <v>-11150000000</v>
      </c>
      <c r="G8" s="9">
        <f t="shared" si="0"/>
        <v>0</v>
      </c>
      <c r="H8" s="10">
        <f t="shared" si="0"/>
        <v>2545000000</v>
      </c>
    </row>
    <row r="9" spans="1:10" s="27" customFormat="1" ht="39.9" customHeight="1" x14ac:dyDescent="0.4">
      <c r="A9" s="23"/>
      <c r="B9" s="73" t="s">
        <v>20</v>
      </c>
      <c r="C9" s="6" t="s">
        <v>5</v>
      </c>
      <c r="D9" s="7">
        <f>-VLOOKUP(C9,[1]Summary!$A$5:$B$45,2,0)</f>
        <v>90969988000</v>
      </c>
      <c r="E9" s="7">
        <f>-VLOOKUP(C9,[1]Summary!$A$5:$E$45,5,0)</f>
        <v>0</v>
      </c>
      <c r="F9" s="7">
        <f>-VLOOKUP(C9,[1]Summary!$A$5:$J$45,10,0)</f>
        <v>-5230322000</v>
      </c>
      <c r="G9" s="7">
        <v>0</v>
      </c>
      <c r="H9" s="8">
        <f>-VLOOKUP(C9,[1]Summary!$A$5:$L$45,12,0)</f>
        <v>85739666000</v>
      </c>
    </row>
    <row r="10" spans="1:10" s="36" customFormat="1" ht="39.9" customHeight="1" x14ac:dyDescent="0.4">
      <c r="A10" s="35"/>
      <c r="B10" s="77"/>
      <c r="C10" s="6" t="s">
        <v>6</v>
      </c>
      <c r="D10" s="7">
        <f>-VLOOKUP(C10,[1]Summary!$A$5:$B$45,2,0)</f>
        <v>37393790000</v>
      </c>
      <c r="E10" s="7">
        <f>-VLOOKUP(C10,[1]Summary!$A$5:$E$45,5,0)</f>
        <v>0</v>
      </c>
      <c r="F10" s="7">
        <f>-VLOOKUP(C10,[1]Summary!$A$5:$J$45,10,0)</f>
        <v>0</v>
      </c>
      <c r="G10" s="7">
        <v>0</v>
      </c>
      <c r="H10" s="8">
        <f>-VLOOKUP(C10,[1]Summary!$A$5:$L$45,12,0)</f>
        <v>37393790000</v>
      </c>
    </row>
    <row r="11" spans="1:10" s="27" customFormat="1" ht="39.9" customHeight="1" x14ac:dyDescent="0.4">
      <c r="A11" s="23"/>
      <c r="B11" s="77"/>
      <c r="C11" s="6" t="s">
        <v>7</v>
      </c>
      <c r="D11" s="7">
        <v>0</v>
      </c>
      <c r="E11" s="7">
        <v>0</v>
      </c>
      <c r="F11" s="7">
        <v>0</v>
      </c>
      <c r="G11" s="7">
        <v>0</v>
      </c>
      <c r="H11" s="8">
        <v>0</v>
      </c>
    </row>
    <row r="12" spans="1:10" s="27" customFormat="1" ht="39.9" customHeight="1" x14ac:dyDescent="0.4">
      <c r="A12" s="23"/>
      <c r="B12" s="77"/>
      <c r="C12" s="6" t="s">
        <v>8</v>
      </c>
      <c r="D12" s="7">
        <v>0</v>
      </c>
      <c r="E12" s="7">
        <v>0</v>
      </c>
      <c r="F12" s="7">
        <v>0</v>
      </c>
      <c r="G12" s="7">
        <v>0</v>
      </c>
      <c r="H12" s="8">
        <v>0</v>
      </c>
    </row>
    <row r="13" spans="1:10" s="27" customFormat="1" ht="39.9" customHeight="1" x14ac:dyDescent="0.4">
      <c r="A13" s="23"/>
      <c r="B13" s="77"/>
      <c r="C13" s="6" t="s">
        <v>9</v>
      </c>
      <c r="D13" s="7">
        <f>-VLOOKUP(C13,[1]Summary!$A$5:$B$45,2,0)+-[1]Summary!B38</f>
        <v>11166573326.029999</v>
      </c>
      <c r="E13" s="7">
        <f>-VLOOKUP(C13,[1]Summary!$A$5:$E$45,5,0)</f>
        <v>0</v>
      </c>
      <c r="F13" s="7">
        <f>-VLOOKUP(C13,[1]Summary!$A$5:$J$45,10,0)+-[1]Summary!J38</f>
        <v>-217605315.34999999</v>
      </c>
      <c r="G13" s="7">
        <v>0</v>
      </c>
      <c r="H13" s="8">
        <f>-VLOOKUP(C13,[1]Summary!$A$5:$L$45,12,0)+-[1]Summary!L38</f>
        <v>10948968010.68</v>
      </c>
    </row>
    <row r="14" spans="1:10" s="27" customFormat="1" ht="39.9" customHeight="1" x14ac:dyDescent="0.4">
      <c r="A14" s="23"/>
      <c r="B14" s="77"/>
      <c r="C14" s="6" t="s">
        <v>10</v>
      </c>
      <c r="D14" s="7">
        <f>-VLOOKUP(C14,[1]Summary!$A$5:$B$45,2,0)</f>
        <v>335605778.80000001</v>
      </c>
      <c r="E14" s="7">
        <f>-VLOOKUP(C14,[1]Summary!$A$5:$E$45,5,0)</f>
        <v>0</v>
      </c>
      <c r="F14" s="7">
        <f>-VLOOKUP(C14,[1]Summary!$A$5:$J$45,10,0)</f>
        <v>0</v>
      </c>
      <c r="G14" s="7">
        <f>-VLOOKUP(C14,[1]Summary!$A$5:$K$45,11,0)</f>
        <v>-2108076.5</v>
      </c>
      <c r="H14" s="8">
        <f>-VLOOKUP(C14,[1]Summary!$A$5:$L$45,12,0)</f>
        <v>333497702.30000001</v>
      </c>
    </row>
    <row r="15" spans="1:10" s="27" customFormat="1" ht="39.9" customHeight="1" x14ac:dyDescent="0.4">
      <c r="A15" s="23"/>
      <c r="B15" s="77"/>
      <c r="C15" s="6" t="s">
        <v>11</v>
      </c>
      <c r="D15" s="7">
        <f>-VLOOKUP(C15,[1]Summary!$A$5:$B$45,2,0)</f>
        <v>7990177244</v>
      </c>
      <c r="E15" s="7">
        <f>-VLOOKUP(C15,[1]Summary!$A$5:$E$45,5,0)</f>
        <v>0</v>
      </c>
      <c r="F15" s="7">
        <f>-VLOOKUP(C15,[1]Summary!$A$5:$J$45,10,0)</f>
        <v>-15000000</v>
      </c>
      <c r="G15" s="7"/>
      <c r="H15" s="8">
        <f>-VLOOKUP(C15,[1]Summary!$A$5:$L$45,12,0)</f>
        <v>7975177244</v>
      </c>
    </row>
    <row r="16" spans="1:10" s="27" customFormat="1" ht="39.9" customHeight="1" x14ac:dyDescent="0.4">
      <c r="A16" s="23"/>
      <c r="B16" s="77"/>
      <c r="C16" s="6" t="s">
        <v>12</v>
      </c>
      <c r="D16" s="7">
        <f>-VLOOKUP(C16,[1]Summary!$A$5:$B$45,2,0)+-[1]Summary!B44</f>
        <v>51836000000</v>
      </c>
      <c r="E16" s="7">
        <f>-VLOOKUP(C16,[1]Summary!$A$5:$E$45,5,0)</f>
        <v>0</v>
      </c>
      <c r="F16" s="7">
        <f>-VLOOKUP(C16,[1]Summary!$A$5:$J$45,10,0)+-[1]Summary!J44</f>
        <v>-8235000000</v>
      </c>
      <c r="G16" s="7">
        <v>0</v>
      </c>
      <c r="H16" s="8">
        <f>-VLOOKUP(C16,[1]Summary!$A$5:$L$45,12,0)+-[1]Summary!L44</f>
        <v>43601000000</v>
      </c>
      <c r="J16" s="30"/>
    </row>
    <row r="17" spans="1:8" s="27" customFormat="1" ht="45" customHeight="1" x14ac:dyDescent="0.4">
      <c r="A17" s="23"/>
      <c r="B17" s="78" t="s">
        <v>13</v>
      </c>
      <c r="C17" s="79"/>
      <c r="D17" s="11">
        <f>SUM(D9:D16)</f>
        <v>199692134348.82999</v>
      </c>
      <c r="E17" s="11">
        <f t="shared" ref="E17:H17" si="1">SUM(E9:E16)</f>
        <v>0</v>
      </c>
      <c r="F17" s="11">
        <f t="shared" si="1"/>
        <v>-13697927315.35</v>
      </c>
      <c r="G17" s="11">
        <f t="shared" si="1"/>
        <v>-2108076.5</v>
      </c>
      <c r="H17" s="12">
        <f t="shared" si="1"/>
        <v>185992098956.97998</v>
      </c>
    </row>
    <row r="18" spans="1:8" s="27" customFormat="1" ht="45" customHeight="1" thickBot="1" x14ac:dyDescent="0.45">
      <c r="A18" s="23"/>
      <c r="B18" s="80" t="s">
        <v>21</v>
      </c>
      <c r="C18" s="81"/>
      <c r="D18" s="13">
        <f>D17+D8</f>
        <v>202487134348.82999</v>
      </c>
      <c r="E18" s="13">
        <f t="shared" ref="E18:H18" si="2">E17+E8</f>
        <v>10900000000</v>
      </c>
      <c r="F18" s="13">
        <f t="shared" si="2"/>
        <v>-24847927315.349998</v>
      </c>
      <c r="G18" s="13">
        <f t="shared" si="2"/>
        <v>-2108076.5</v>
      </c>
      <c r="H18" s="14">
        <f t="shared" si="2"/>
        <v>188537098956.97998</v>
      </c>
    </row>
    <row r="21" spans="1:8" s="18" customFormat="1" ht="16" x14ac:dyDescent="0.4">
      <c r="A21" s="1"/>
      <c r="B21" s="15" t="s">
        <v>22</v>
      </c>
      <c r="C21" s="16"/>
      <c r="D21" s="17"/>
      <c r="E21" s="17"/>
      <c r="F21" s="17"/>
      <c r="G21" s="17"/>
      <c r="H21" s="17"/>
    </row>
    <row r="22" spans="1:8" s="18" customFormat="1" x14ac:dyDescent="0.3">
      <c r="A22" s="1"/>
      <c r="B22" s="19" t="s">
        <v>23</v>
      </c>
      <c r="C22" s="16"/>
      <c r="D22" s="20"/>
      <c r="E22" s="20"/>
      <c r="F22" s="20"/>
      <c r="G22" s="20"/>
      <c r="H22" s="20"/>
    </row>
    <row r="23" spans="1:8" s="18" customFormat="1" x14ac:dyDescent="0.3">
      <c r="A23" s="1"/>
      <c r="B23" s="21" t="s">
        <v>24</v>
      </c>
      <c r="C23" s="16"/>
      <c r="D23" s="20"/>
      <c r="E23" s="20"/>
      <c r="F23" s="20"/>
      <c r="G23" s="20"/>
      <c r="H23" s="20"/>
    </row>
    <row r="24" spans="1:8" s="18" customFormat="1" ht="28.5" customHeight="1" x14ac:dyDescent="0.3">
      <c r="A24" s="1"/>
      <c r="B24" s="70" t="s">
        <v>26</v>
      </c>
      <c r="C24" s="70"/>
      <c r="D24" s="70"/>
      <c r="E24" s="70"/>
      <c r="F24" s="70"/>
      <c r="G24" s="70"/>
      <c r="H24" s="70"/>
    </row>
    <row r="25" spans="1:8" s="18" customFormat="1" x14ac:dyDescent="0.3">
      <c r="A25" s="1"/>
      <c r="B25" s="19" t="s">
        <v>29</v>
      </c>
      <c r="C25" s="16"/>
      <c r="D25" s="20"/>
      <c r="E25" s="20"/>
      <c r="F25" s="20"/>
      <c r="G25" s="20"/>
      <c r="H25" s="20"/>
    </row>
    <row r="26" spans="1:8" s="18" customFormat="1" x14ac:dyDescent="0.3">
      <c r="A26" s="1"/>
      <c r="B26" s="22"/>
      <c r="C26" s="16"/>
      <c r="D26" s="17"/>
      <c r="E26" s="17"/>
      <c r="F26" s="17"/>
      <c r="G26" s="17"/>
      <c r="H26" s="17"/>
    </row>
    <row r="27" spans="1:8" s="18" customFormat="1" x14ac:dyDescent="0.3">
      <c r="A27" s="1"/>
      <c r="B27" s="22" t="s">
        <v>27</v>
      </c>
      <c r="C27" s="16"/>
      <c r="D27" s="17"/>
      <c r="E27" s="17"/>
      <c r="F27" s="17"/>
      <c r="G27" s="17"/>
      <c r="H27" s="17"/>
    </row>
    <row r="28" spans="1:8" s="18" customFormat="1" ht="87" customHeight="1" x14ac:dyDescent="0.3">
      <c r="A28" s="1"/>
      <c r="B28" s="71" t="s">
        <v>25</v>
      </c>
      <c r="C28" s="71"/>
      <c r="D28" s="71"/>
      <c r="E28" s="71"/>
      <c r="F28" s="71"/>
      <c r="G28" s="71"/>
      <c r="H28" s="71"/>
    </row>
  </sheetData>
  <mergeCells count="8">
    <mergeCell ref="B24:H24"/>
    <mergeCell ref="B28:H28"/>
    <mergeCell ref="B4:H4"/>
    <mergeCell ref="B6:B7"/>
    <mergeCell ref="B8:C8"/>
    <mergeCell ref="B9:B16"/>
    <mergeCell ref="B17:C17"/>
    <mergeCell ref="B18:C18"/>
  </mergeCells>
  <pageMargins left="0.7" right="0.7" top="0.75" bottom="0.75" header="0.3" footer="0.3"/>
  <pageSetup paperSize="4" scale="57" orientation="landscape" r:id="rId1"/>
  <headerFooter alignWithMargins="0">
    <oddFooter>&amp;L&amp;1#&amp;"Calibri"&amp;10&amp;K000000Fannie Mae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6D5A4-ACC9-428F-80D9-DD936447B7EB}">
  <dimension ref="A1:J26"/>
  <sheetViews>
    <sheetView zoomScale="75" zoomScaleNormal="75" workbookViewId="0">
      <selection activeCell="B4" sqref="B4:H4"/>
    </sheetView>
  </sheetViews>
  <sheetFormatPr defaultRowHeight="13" x14ac:dyDescent="0.3"/>
  <cols>
    <col min="1" max="1" width="2" style="42" customWidth="1"/>
    <col min="2" max="2" width="25.6328125" style="62" customWidth="1"/>
    <col min="3" max="3" width="25.6328125" style="60" customWidth="1"/>
    <col min="4" max="8" width="25.6328125" style="61" customWidth="1"/>
    <col min="10" max="10" width="17.1796875" bestFit="1" customWidth="1"/>
  </cols>
  <sheetData>
    <row r="1" spans="1:10" s="41" customFormat="1" ht="7" customHeight="1" x14ac:dyDescent="0.3">
      <c r="A1" s="37"/>
      <c r="B1" s="38"/>
      <c r="C1" s="39"/>
      <c r="D1" s="40"/>
      <c r="E1" s="40"/>
      <c r="F1" s="40"/>
      <c r="G1" s="40"/>
      <c r="H1" s="40"/>
    </row>
    <row r="2" spans="1:10" s="41" customFormat="1" ht="21.5" customHeight="1" x14ac:dyDescent="0.3">
      <c r="A2" s="37"/>
      <c r="B2" s="42"/>
      <c r="C2" s="39"/>
      <c r="D2" s="40"/>
      <c r="E2" s="40"/>
      <c r="F2" s="40"/>
      <c r="G2" s="40"/>
      <c r="H2" s="40"/>
    </row>
    <row r="3" spans="1:10" s="41" customFormat="1" ht="18.25" customHeight="1" x14ac:dyDescent="0.3">
      <c r="A3" s="37"/>
      <c r="B3" s="43"/>
      <c r="C3" s="39"/>
      <c r="D3" s="40"/>
      <c r="E3" s="40"/>
      <c r="F3" s="40"/>
      <c r="G3" s="40"/>
      <c r="H3" s="40"/>
    </row>
    <row r="4" spans="1:10" s="41" customFormat="1" ht="20.9" customHeight="1" thickBot="1" x14ac:dyDescent="0.6">
      <c r="A4" s="37"/>
      <c r="B4" s="82" t="s">
        <v>39</v>
      </c>
      <c r="C4" s="82"/>
      <c r="D4" s="82"/>
      <c r="E4" s="82"/>
      <c r="F4" s="82"/>
      <c r="G4" s="82"/>
      <c r="H4" s="82"/>
    </row>
    <row r="5" spans="1:10" s="41" customFormat="1" ht="57.75" customHeight="1" x14ac:dyDescent="0.3">
      <c r="A5" s="37"/>
      <c r="B5" s="44" t="s">
        <v>0</v>
      </c>
      <c r="C5" s="45" t="s">
        <v>1</v>
      </c>
      <c r="D5" s="46" t="s">
        <v>14</v>
      </c>
      <c r="E5" s="46" t="s">
        <v>15</v>
      </c>
      <c r="F5" s="46" t="s">
        <v>16</v>
      </c>
      <c r="G5" s="46" t="s">
        <v>17</v>
      </c>
      <c r="H5" s="47" t="s">
        <v>18</v>
      </c>
    </row>
    <row r="6" spans="1:10" s="41" customFormat="1" ht="40" customHeight="1" x14ac:dyDescent="0.4">
      <c r="A6" s="37"/>
      <c r="B6" s="83" t="s">
        <v>19</v>
      </c>
      <c r="C6" s="48" t="s">
        <v>2</v>
      </c>
      <c r="D6" s="49">
        <f>-VLOOKUP(C6,[10]Summary!$A$5:$B$45,2,0)</f>
        <v>2995000000</v>
      </c>
      <c r="E6" s="49">
        <f>-VLOOKUP(C6,[10]Summary!$A$5:$E$45,5,0)</f>
        <v>6520000000</v>
      </c>
      <c r="F6" s="49">
        <f>-VLOOKUP(C6,[10]Summary!$A$5:$J$45,10,0)</f>
        <v>-6720000000</v>
      </c>
      <c r="G6" s="49">
        <v>0</v>
      </c>
      <c r="H6" s="50">
        <f>-VLOOKUP(C6,[10]Summary!$A$5:$L$45,12,0)</f>
        <v>2795000000</v>
      </c>
    </row>
    <row r="7" spans="1:10" s="41" customFormat="1" ht="40" customHeight="1" x14ac:dyDescent="0.4">
      <c r="A7" s="37"/>
      <c r="B7" s="84"/>
      <c r="C7" s="48" t="s">
        <v>3</v>
      </c>
      <c r="D7" s="49">
        <v>0</v>
      </c>
      <c r="E7" s="49">
        <v>0</v>
      </c>
      <c r="F7" s="49">
        <v>0</v>
      </c>
      <c r="G7" s="49">
        <v>0</v>
      </c>
      <c r="H7" s="50">
        <v>0</v>
      </c>
    </row>
    <row r="8" spans="1:10" s="41" customFormat="1" ht="40" customHeight="1" x14ac:dyDescent="0.4">
      <c r="A8" s="37"/>
      <c r="B8" s="85" t="s">
        <v>4</v>
      </c>
      <c r="C8" s="86"/>
      <c r="D8" s="51">
        <f>SUM(D6:D7)</f>
        <v>2995000000</v>
      </c>
      <c r="E8" s="51">
        <f t="shared" ref="E8:H8" si="0">SUM(E6:E7)</f>
        <v>6520000000</v>
      </c>
      <c r="F8" s="51">
        <f t="shared" si="0"/>
        <v>-6720000000</v>
      </c>
      <c r="G8" s="51">
        <f t="shared" si="0"/>
        <v>0</v>
      </c>
      <c r="H8" s="52">
        <f t="shared" si="0"/>
        <v>2795000000</v>
      </c>
    </row>
    <row r="9" spans="1:10" s="41" customFormat="1" ht="40" customHeight="1" x14ac:dyDescent="0.4">
      <c r="A9" s="37"/>
      <c r="B9" s="83" t="s">
        <v>20</v>
      </c>
      <c r="C9" s="48" t="s">
        <v>5</v>
      </c>
      <c r="D9" s="49">
        <f>-VLOOKUP(C9,[10]Summary!$A$5:$B$45,2,0)</f>
        <v>78739666000</v>
      </c>
      <c r="E9" s="49">
        <f>-VLOOKUP(C9,[10]Summary!$A$5:$E$45,5,0)</f>
        <v>0</v>
      </c>
      <c r="F9" s="49">
        <f>-VLOOKUP(C9,[10]Summary!$A$5:$J$45,10,0)</f>
        <v>-2000000000</v>
      </c>
      <c r="G9" s="49">
        <v>0</v>
      </c>
      <c r="H9" s="50">
        <f>-VLOOKUP(C9,[10]Summary!$A$5:$L$45,12,0)</f>
        <v>76739666000</v>
      </c>
    </row>
    <row r="10" spans="1:10" s="54" customFormat="1" ht="40" customHeight="1" x14ac:dyDescent="0.4">
      <c r="A10" s="53"/>
      <c r="B10" s="87"/>
      <c r="C10" s="48" t="s">
        <v>6</v>
      </c>
      <c r="D10" s="49">
        <f>-VLOOKUP(C10,[10]Summary!$A$5:$B$45,2,0)+150000000</f>
        <v>37596290000</v>
      </c>
      <c r="E10" s="49">
        <f>-VLOOKUP(C10,[10]Summary!$A$5:$E$45,5,0)</f>
        <v>0</v>
      </c>
      <c r="F10" s="49">
        <f>-VLOOKUP(C10,[10]Summary!$A$5:$J$45,10,0)</f>
        <v>0</v>
      </c>
      <c r="G10" s="49">
        <v>-150000000</v>
      </c>
      <c r="H10" s="50">
        <f>-VLOOKUP(C10,[10]Summary!$A$5:$L$45,12,0)</f>
        <v>37446290000</v>
      </c>
    </row>
    <row r="11" spans="1:10" s="41" customFormat="1" ht="40" customHeight="1" x14ac:dyDescent="0.4">
      <c r="A11" s="37"/>
      <c r="B11" s="87"/>
      <c r="C11" s="48" t="s">
        <v>7</v>
      </c>
      <c r="D11" s="49">
        <v>0</v>
      </c>
      <c r="E11" s="49">
        <v>0</v>
      </c>
      <c r="F11" s="49">
        <v>0</v>
      </c>
      <c r="G11" s="49">
        <v>0</v>
      </c>
      <c r="H11" s="50">
        <v>0</v>
      </c>
    </row>
    <row r="12" spans="1:10" s="41" customFormat="1" ht="40" customHeight="1" x14ac:dyDescent="0.4">
      <c r="A12" s="37"/>
      <c r="B12" s="87"/>
      <c r="C12" s="48" t="s">
        <v>8</v>
      </c>
      <c r="D12" s="49">
        <v>0</v>
      </c>
      <c r="E12" s="49">
        <v>0</v>
      </c>
      <c r="F12" s="49">
        <v>0</v>
      </c>
      <c r="G12" s="49">
        <v>0</v>
      </c>
      <c r="H12" s="50">
        <v>0</v>
      </c>
    </row>
    <row r="13" spans="1:10" s="41" customFormat="1" ht="40" customHeight="1" x14ac:dyDescent="0.4">
      <c r="A13" s="37"/>
      <c r="B13" s="87"/>
      <c r="C13" s="48" t="s">
        <v>9</v>
      </c>
      <c r="D13" s="49">
        <f>-VLOOKUP(C13,[10]Summary!$A$5:$B$45,2,0)+-[10]Summary!B38</f>
        <v>6946690760.7399998</v>
      </c>
      <c r="E13" s="49">
        <f>-VLOOKUP(C13,[10]Summary!$A$5:$E$45,5,0)</f>
        <v>0</v>
      </c>
      <c r="F13" s="49">
        <f>-VLOOKUP(C13,[10]Summary!$A$5:$J$45,10,0)+-[10]Summary!J38</f>
        <v>-95746905.780000001</v>
      </c>
      <c r="G13" s="49">
        <v>0</v>
      </c>
      <c r="H13" s="50">
        <f>-VLOOKUP(C13,[10]Summary!$A$5:$L$45,12,0)+-[10]Summary!L38</f>
        <v>6850943854.96</v>
      </c>
      <c r="J13" s="67"/>
    </row>
    <row r="14" spans="1:10" s="41" customFormat="1" ht="40" customHeight="1" x14ac:dyDescent="0.4">
      <c r="A14" s="37"/>
      <c r="B14" s="87"/>
      <c r="C14" s="48" t="s">
        <v>10</v>
      </c>
      <c r="D14" s="49">
        <f>-VLOOKUP(C14,[10]Summary!$A$5:$B$45,2,0)</f>
        <v>277026053</v>
      </c>
      <c r="E14" s="49">
        <f>-VLOOKUP(C14,[10]Summary!$A$5:$E$45,5,0)</f>
        <v>0</v>
      </c>
      <c r="F14" s="49">
        <f>-VLOOKUP(C14,[10]Summary!$A$5:$J$45,10,0)</f>
        <v>0</v>
      </c>
      <c r="G14" s="49">
        <f>-VLOOKUP(C14,[10]Summary!$A$5:$K$45,11,0)</f>
        <v>7415468.8600000003</v>
      </c>
      <c r="H14" s="50">
        <f>-VLOOKUP(C14,[10]Summary!$A$5:$L$45,12,0)</f>
        <v>284441521.86000001</v>
      </c>
    </row>
    <row r="15" spans="1:10" s="41" customFormat="1" ht="40" customHeight="1" x14ac:dyDescent="0.4">
      <c r="A15" s="37"/>
      <c r="B15" s="87"/>
      <c r="C15" s="48" t="s">
        <v>11</v>
      </c>
      <c r="D15" s="49">
        <f>-VLOOKUP(C15,[10]Summary!$A$5:$B$45,2,0)-150000000</f>
        <v>8109454326</v>
      </c>
      <c r="E15" s="49">
        <f>-VLOOKUP(C15,[10]Summary!$A$5:$E$45,5,0)</f>
        <v>0</v>
      </c>
      <c r="F15" s="49">
        <f>-VLOOKUP(C15,[10]Summary!$A$5:$J$45,10,0)</f>
        <v>-80932918</v>
      </c>
      <c r="G15" s="49">
        <v>150000000</v>
      </c>
      <c r="H15" s="50">
        <f>-VLOOKUP(C15,[10]Summary!$A$5:$L$45,12,0)</f>
        <v>8178521408</v>
      </c>
    </row>
    <row r="16" spans="1:10" s="41" customFormat="1" ht="40" customHeight="1" x14ac:dyDescent="0.4">
      <c r="A16" s="37"/>
      <c r="B16" s="87"/>
      <c r="C16" s="48" t="s">
        <v>12</v>
      </c>
      <c r="D16" s="49">
        <f>-VLOOKUP(C16,[10]Summary!$A$5:$B$45,2,0)</f>
        <v>250000000</v>
      </c>
      <c r="E16" s="49">
        <f>-VLOOKUP(C16,[10]Summary!$A$5:$E$45,5,0)</f>
        <v>0</v>
      </c>
      <c r="F16" s="49">
        <f>-VLOOKUP(C16,[10]Summary!$A$5:$J$45,10,0)</f>
        <v>0</v>
      </c>
      <c r="G16" s="49">
        <v>0</v>
      </c>
      <c r="H16" s="50">
        <f>-VLOOKUP(C16,[10]Summary!$A$5:$L$45,12,0)</f>
        <v>250000000</v>
      </c>
      <c r="J16" s="55"/>
    </row>
    <row r="17" spans="1:8" s="41" customFormat="1" ht="45" customHeight="1" x14ac:dyDescent="0.4">
      <c r="A17" s="37"/>
      <c r="B17" s="88" t="s">
        <v>13</v>
      </c>
      <c r="C17" s="89"/>
      <c r="D17" s="56">
        <f>SUM(D9:D16)</f>
        <v>131919127139.74001</v>
      </c>
      <c r="E17" s="56">
        <f t="shared" ref="E17:H17" si="1">SUM(E9:E16)</f>
        <v>0</v>
      </c>
      <c r="F17" s="56">
        <f t="shared" si="1"/>
        <v>-2176679823.7799997</v>
      </c>
      <c r="G17" s="56">
        <f t="shared" si="1"/>
        <v>7415468.8600000143</v>
      </c>
      <c r="H17" s="57">
        <f t="shared" si="1"/>
        <v>129749862784.82001</v>
      </c>
    </row>
    <row r="18" spans="1:8" s="41" customFormat="1" ht="45" customHeight="1" thickBot="1" x14ac:dyDescent="0.45">
      <c r="A18" s="37"/>
      <c r="B18" s="90" t="s">
        <v>21</v>
      </c>
      <c r="C18" s="91"/>
      <c r="D18" s="58">
        <f>D17+D8</f>
        <v>134914127139.74001</v>
      </c>
      <c r="E18" s="58">
        <f t="shared" ref="E18:H18" si="2">E17+E8</f>
        <v>6520000000</v>
      </c>
      <c r="F18" s="58">
        <f t="shared" si="2"/>
        <v>-8896679823.7799988</v>
      </c>
      <c r="G18" s="58">
        <f t="shared" si="2"/>
        <v>7415468.8600000143</v>
      </c>
      <c r="H18" s="59">
        <f t="shared" si="2"/>
        <v>132544862784.82001</v>
      </c>
    </row>
    <row r="20" spans="1:8" s="18" customFormat="1" ht="16" x14ac:dyDescent="0.4">
      <c r="A20" s="1"/>
      <c r="B20" s="15" t="s">
        <v>22</v>
      </c>
      <c r="C20" s="16"/>
      <c r="D20" s="17"/>
      <c r="E20" s="17"/>
      <c r="F20" s="17"/>
      <c r="G20" s="17"/>
      <c r="H20" s="17"/>
    </row>
    <row r="21" spans="1:8" s="18" customFormat="1" x14ac:dyDescent="0.3">
      <c r="A21" s="1"/>
      <c r="B21" s="19" t="s">
        <v>23</v>
      </c>
      <c r="C21" s="16"/>
      <c r="D21" s="20"/>
      <c r="E21" s="20"/>
      <c r="F21" s="20"/>
      <c r="G21" s="20"/>
      <c r="H21" s="20"/>
    </row>
    <row r="22" spans="1:8" s="18" customFormat="1" x14ac:dyDescent="0.3">
      <c r="A22" s="1"/>
      <c r="B22" s="21" t="s">
        <v>24</v>
      </c>
      <c r="C22" s="16"/>
      <c r="D22" s="20"/>
      <c r="E22" s="20"/>
      <c r="F22" s="20"/>
      <c r="G22" s="20"/>
      <c r="H22" s="20"/>
    </row>
    <row r="23" spans="1:8" s="18" customFormat="1" ht="28.5" customHeight="1" x14ac:dyDescent="0.3">
      <c r="A23" s="1"/>
      <c r="B23" s="70" t="s">
        <v>26</v>
      </c>
      <c r="C23" s="70"/>
      <c r="D23" s="70"/>
      <c r="E23" s="70"/>
      <c r="F23" s="70"/>
      <c r="G23" s="70"/>
      <c r="H23" s="70"/>
    </row>
    <row r="24" spans="1:8" s="18" customFormat="1" x14ac:dyDescent="0.3">
      <c r="A24" s="1"/>
      <c r="B24" s="66"/>
      <c r="C24" s="66"/>
      <c r="D24" s="66"/>
      <c r="E24" s="66"/>
      <c r="F24" s="66"/>
      <c r="G24" s="66"/>
      <c r="H24" s="66"/>
    </row>
    <row r="25" spans="1:8" s="18" customFormat="1" x14ac:dyDescent="0.3">
      <c r="A25" s="1"/>
      <c r="B25" s="22" t="s">
        <v>27</v>
      </c>
      <c r="C25" s="16"/>
      <c r="D25" s="17"/>
      <c r="E25" s="17"/>
      <c r="F25" s="17"/>
      <c r="G25" s="17"/>
      <c r="H25" s="17"/>
    </row>
    <row r="26" spans="1:8" s="18" customFormat="1" ht="87" customHeight="1" x14ac:dyDescent="0.3">
      <c r="A26" s="1"/>
      <c r="B26" s="71" t="s">
        <v>25</v>
      </c>
      <c r="C26" s="71"/>
      <c r="D26" s="71"/>
      <c r="E26" s="71"/>
      <c r="F26" s="71"/>
      <c r="G26" s="71"/>
      <c r="H26" s="71"/>
    </row>
  </sheetData>
  <mergeCells count="8">
    <mergeCell ref="B23:H23"/>
    <mergeCell ref="B26:H26"/>
    <mergeCell ref="B4:H4"/>
    <mergeCell ref="B6:B7"/>
    <mergeCell ref="B8:C8"/>
    <mergeCell ref="B9:B16"/>
    <mergeCell ref="B17:C17"/>
    <mergeCell ref="B18:C18"/>
  </mergeCells>
  <pageMargins left="0.7" right="0.7" top="0.75" bottom="0.75" header="0.3" footer="0.3"/>
  <pageSetup paperSize="4" scale="62" orientation="landscape" r:id="rId1"/>
  <headerFooter alignWithMargins="0">
    <oddFooter>&amp;L&amp;"Calibri"&amp;11&amp;K000000_x000D_&amp;1#&amp;"Calibri"&amp;10&amp;K000000Fannie Mae 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A0ADA-E555-4036-B71C-F8BF6089408E}">
  <dimension ref="A1:J26"/>
  <sheetViews>
    <sheetView zoomScale="75" zoomScaleNormal="75" workbookViewId="0">
      <selection activeCell="B4" sqref="B4:H4"/>
    </sheetView>
  </sheetViews>
  <sheetFormatPr defaultRowHeight="13" x14ac:dyDescent="0.3"/>
  <cols>
    <col min="1" max="1" width="2" style="42" customWidth="1"/>
    <col min="2" max="2" width="25.6328125" style="62" customWidth="1"/>
    <col min="3" max="3" width="25.6328125" style="60" customWidth="1"/>
    <col min="4" max="8" width="25.6328125" style="61" customWidth="1"/>
    <col min="10" max="10" width="17.36328125" bestFit="1" customWidth="1"/>
  </cols>
  <sheetData>
    <row r="1" spans="1:10" s="41" customFormat="1" ht="6.9" customHeight="1" x14ac:dyDescent="0.3">
      <c r="A1" s="37"/>
      <c r="B1" s="38"/>
      <c r="C1" s="39"/>
      <c r="D1" s="40"/>
      <c r="E1" s="40"/>
      <c r="F1" s="40"/>
      <c r="G1" s="40"/>
      <c r="H1" s="40"/>
    </row>
    <row r="2" spans="1:10" s="41" customFormat="1" ht="21.5" customHeight="1" x14ac:dyDescent="0.3">
      <c r="A2" s="37"/>
      <c r="B2" s="42"/>
      <c r="C2" s="39"/>
      <c r="D2" s="40"/>
      <c r="E2" s="40"/>
      <c r="F2" s="40"/>
      <c r="G2" s="40"/>
      <c r="H2" s="40"/>
    </row>
    <row r="3" spans="1:10" s="41" customFormat="1" ht="18.149999999999999" customHeight="1" x14ac:dyDescent="0.3">
      <c r="A3" s="37"/>
      <c r="B3" s="43"/>
      <c r="C3" s="39"/>
      <c r="D3" s="40"/>
      <c r="E3" s="40"/>
      <c r="F3" s="40"/>
      <c r="G3" s="40"/>
      <c r="H3" s="40"/>
    </row>
    <row r="4" spans="1:10" s="41" customFormat="1" ht="20.9" customHeight="1" thickBot="1" x14ac:dyDescent="0.6">
      <c r="A4" s="37"/>
      <c r="B4" s="82" t="s">
        <v>40</v>
      </c>
      <c r="C4" s="82"/>
      <c r="D4" s="82"/>
      <c r="E4" s="82"/>
      <c r="F4" s="82"/>
      <c r="G4" s="82"/>
      <c r="H4" s="82"/>
    </row>
    <row r="5" spans="1:10" s="41" customFormat="1" ht="57.75" customHeight="1" x14ac:dyDescent="0.3">
      <c r="A5" s="37"/>
      <c r="B5" s="44" t="s">
        <v>0</v>
      </c>
      <c r="C5" s="45" t="s">
        <v>1</v>
      </c>
      <c r="D5" s="46" t="s">
        <v>14</v>
      </c>
      <c r="E5" s="46" t="s">
        <v>15</v>
      </c>
      <c r="F5" s="46" t="s">
        <v>16</v>
      </c>
      <c r="G5" s="46" t="s">
        <v>17</v>
      </c>
      <c r="H5" s="47" t="s">
        <v>18</v>
      </c>
    </row>
    <row r="6" spans="1:10" s="41" customFormat="1" ht="39.9" customHeight="1" x14ac:dyDescent="0.4">
      <c r="A6" s="37"/>
      <c r="B6" s="83" t="s">
        <v>19</v>
      </c>
      <c r="C6" s="48" t="s">
        <v>2</v>
      </c>
      <c r="D6" s="49">
        <f>-VLOOKUP(C6,[11]Summary!$A$5:$B$45,2,0)</f>
        <v>2795000000</v>
      </c>
      <c r="E6" s="49">
        <f>-VLOOKUP(C6,[11]Summary!$A$5:$E$45,5,0)</f>
        <v>11535738000</v>
      </c>
      <c r="F6" s="49">
        <f>-VLOOKUP(C6,[11]Summary!$A$5:$J$45,10,0)</f>
        <v>-4403932000</v>
      </c>
      <c r="G6" s="49">
        <v>0</v>
      </c>
      <c r="H6" s="50">
        <f>-VLOOKUP(C6,[11]Summary!$A$5:$L$45,12,0)</f>
        <v>9926806000</v>
      </c>
    </row>
    <row r="7" spans="1:10" s="41" customFormat="1" ht="39.9" customHeight="1" x14ac:dyDescent="0.4">
      <c r="A7" s="37"/>
      <c r="B7" s="84"/>
      <c r="C7" s="48" t="s">
        <v>3</v>
      </c>
      <c r="D7" s="49">
        <v>0</v>
      </c>
      <c r="E7" s="49">
        <v>0</v>
      </c>
      <c r="F7" s="49">
        <v>0</v>
      </c>
      <c r="G7" s="49">
        <v>0</v>
      </c>
      <c r="H7" s="50">
        <v>0</v>
      </c>
    </row>
    <row r="8" spans="1:10" s="41" customFormat="1" ht="39.9" customHeight="1" x14ac:dyDescent="0.4">
      <c r="A8" s="37"/>
      <c r="B8" s="85" t="s">
        <v>4</v>
      </c>
      <c r="C8" s="86"/>
      <c r="D8" s="51">
        <f>SUM(D6:D7)</f>
        <v>2795000000</v>
      </c>
      <c r="E8" s="51">
        <f t="shared" ref="E8:H8" si="0">SUM(E6:E7)</f>
        <v>11535738000</v>
      </c>
      <c r="F8" s="51">
        <f t="shared" si="0"/>
        <v>-4403932000</v>
      </c>
      <c r="G8" s="51">
        <f t="shared" si="0"/>
        <v>0</v>
      </c>
      <c r="H8" s="52">
        <f t="shared" si="0"/>
        <v>9926806000</v>
      </c>
    </row>
    <row r="9" spans="1:10" s="41" customFormat="1" ht="39.9" customHeight="1" x14ac:dyDescent="0.4">
      <c r="A9" s="37"/>
      <c r="B9" s="83" t="s">
        <v>20</v>
      </c>
      <c r="C9" s="48" t="s">
        <v>5</v>
      </c>
      <c r="D9" s="49">
        <f>-VLOOKUP(C9,[11]Summary!$A$5:$B$45,2,0)</f>
        <v>76739666000</v>
      </c>
      <c r="E9" s="49">
        <f>-VLOOKUP(C9,[11]Summary!$A$5:$E$45,5,0)</f>
        <v>0</v>
      </c>
      <c r="F9" s="49">
        <f>-VLOOKUP(C9,[11]Summary!$A$5:$J$45,10,0)</f>
        <v>0</v>
      </c>
      <c r="G9" s="49">
        <v>0</v>
      </c>
      <c r="H9" s="50">
        <f>-VLOOKUP(C9,[11]Summary!$A$5:$L$45,12,0)</f>
        <v>76739666000</v>
      </c>
    </row>
    <row r="10" spans="1:10" s="54" customFormat="1" ht="39.9" customHeight="1" x14ac:dyDescent="0.4">
      <c r="A10" s="53"/>
      <c r="B10" s="87"/>
      <c r="C10" s="48" t="s">
        <v>6</v>
      </c>
      <c r="D10" s="49">
        <f>-VLOOKUP(C10,[11]Summary!$A$5:$B$45,2,0)+115000000</f>
        <v>37446290000</v>
      </c>
      <c r="E10" s="49">
        <f>-VLOOKUP(C10,[11]Summary!$A$5:$E$45,5,0)</f>
        <v>730000000</v>
      </c>
      <c r="F10" s="49">
        <f>-VLOOKUP(C10,[11]Summary!$A$5:$J$45,10,0)</f>
        <v>0</v>
      </c>
      <c r="G10" s="49">
        <v>-115000000</v>
      </c>
      <c r="H10" s="50">
        <f>-VLOOKUP(C10,[11]Summary!$A$5:$L$45,12,0)</f>
        <v>38061290000</v>
      </c>
    </row>
    <row r="11" spans="1:10" s="41" customFormat="1" ht="39.9" customHeight="1" x14ac:dyDescent="0.4">
      <c r="A11" s="37"/>
      <c r="B11" s="87"/>
      <c r="C11" s="48" t="s">
        <v>7</v>
      </c>
      <c r="D11" s="49">
        <v>0</v>
      </c>
      <c r="E11" s="49">
        <v>0</v>
      </c>
      <c r="F11" s="49">
        <v>0</v>
      </c>
      <c r="G11" s="49">
        <v>0</v>
      </c>
      <c r="H11" s="50">
        <v>0</v>
      </c>
    </row>
    <row r="12" spans="1:10" s="41" customFormat="1" ht="39.9" customHeight="1" x14ac:dyDescent="0.4">
      <c r="A12" s="37"/>
      <c r="B12" s="87"/>
      <c r="C12" s="48" t="s">
        <v>8</v>
      </c>
      <c r="D12" s="49">
        <v>0</v>
      </c>
      <c r="E12" s="49">
        <v>0</v>
      </c>
      <c r="F12" s="49">
        <v>0</v>
      </c>
      <c r="G12" s="49">
        <v>0</v>
      </c>
      <c r="H12" s="50">
        <v>0</v>
      </c>
    </row>
    <row r="13" spans="1:10" s="41" customFormat="1" ht="39.9" customHeight="1" x14ac:dyDescent="0.4">
      <c r="A13" s="37"/>
      <c r="B13" s="87"/>
      <c r="C13" s="48" t="s">
        <v>9</v>
      </c>
      <c r="D13" s="49">
        <f>-VLOOKUP(C13,[11]Summary!$A$5:$B$45,2,0)+-[11]Summary!B40</f>
        <v>6850943854.96</v>
      </c>
      <c r="E13" s="49">
        <f>-VLOOKUP(C13,[11]Summary!$A$5:$E$45,5,0)</f>
        <v>0</v>
      </c>
      <c r="F13" s="49">
        <f>-VLOOKUP(C13,[11]Summary!$A$5:$J$45,10,0)+-[11]Summary!J40</f>
        <v>-81933331.700000003</v>
      </c>
      <c r="G13" s="49">
        <v>0</v>
      </c>
      <c r="H13" s="50">
        <f>-VLOOKUP(C13,[11]Summary!$A$5:$L$45,12,0)+-[11]Summary!L40</f>
        <v>6769010523.2599993</v>
      </c>
      <c r="J13" s="67"/>
    </row>
    <row r="14" spans="1:10" s="41" customFormat="1" ht="39.9" customHeight="1" x14ac:dyDescent="0.4">
      <c r="A14" s="37"/>
      <c r="B14" s="87"/>
      <c r="C14" s="48" t="s">
        <v>10</v>
      </c>
      <c r="D14" s="49">
        <f>-VLOOKUP(C14,[11]Summary!$A$5:$B$45,2,0)</f>
        <v>284441521.86000001</v>
      </c>
      <c r="E14" s="49">
        <f>-VLOOKUP(C14,[11]Summary!$A$5:$E$45,5,0)</f>
        <v>0</v>
      </c>
      <c r="F14" s="49">
        <f>-VLOOKUP(C14,[11]Summary!$A$5:$J$45,10,0)</f>
        <v>0</v>
      </c>
      <c r="G14" s="49">
        <f>-VLOOKUP(C14,[11]Summary!$A$5:$K$45,11,0)</f>
        <v>14607730.1</v>
      </c>
      <c r="H14" s="50">
        <f>-VLOOKUP(C14,[11]Summary!$A$5:$L$45,12,0)</f>
        <v>299049251.95999998</v>
      </c>
    </row>
    <row r="15" spans="1:10" s="41" customFormat="1" ht="39.9" customHeight="1" x14ac:dyDescent="0.4">
      <c r="A15" s="37"/>
      <c r="B15" s="87"/>
      <c r="C15" s="48" t="s">
        <v>11</v>
      </c>
      <c r="D15" s="49">
        <f>-VLOOKUP(C15,[11]Summary!$A$5:$B$45,2,0)-115000000</f>
        <v>8178521408</v>
      </c>
      <c r="E15" s="49">
        <f>-VLOOKUP(C15,[11]Summary!$A$5:$E$45,5,0)</f>
        <v>0</v>
      </c>
      <c r="F15" s="49">
        <f>-VLOOKUP(C15,[11]Summary!$A$5:$J$45,10,0)</f>
        <v>-50000000</v>
      </c>
      <c r="G15" s="49">
        <v>115000000</v>
      </c>
      <c r="H15" s="50">
        <f>-VLOOKUP(C15,[11]Summary!$A$5:$L$45,12,0)</f>
        <v>8243521408</v>
      </c>
    </row>
    <row r="16" spans="1:10" s="41" customFormat="1" ht="39.9" customHeight="1" x14ac:dyDescent="0.4">
      <c r="A16" s="37"/>
      <c r="B16" s="87"/>
      <c r="C16" s="48" t="s">
        <v>12</v>
      </c>
      <c r="D16" s="49">
        <f>-VLOOKUP(C16,[11]Summary!$A$5:$B$45,2,0)</f>
        <v>250000000</v>
      </c>
      <c r="E16" s="49">
        <f>-VLOOKUP(C16,[11]Summary!$A$5:$E$45,5,0)</f>
        <v>0</v>
      </c>
      <c r="F16" s="49">
        <f>-VLOOKUP(C16,[11]Summary!$A$5:$J$45,10,0)</f>
        <v>0</v>
      </c>
      <c r="G16" s="49">
        <v>0</v>
      </c>
      <c r="H16" s="50">
        <f>-VLOOKUP(C16,[11]Summary!$A$5:$L$45,12,0)</f>
        <v>250000000</v>
      </c>
      <c r="J16" s="55"/>
    </row>
    <row r="17" spans="1:8" s="41" customFormat="1" ht="45" customHeight="1" x14ac:dyDescent="0.4">
      <c r="A17" s="37"/>
      <c r="B17" s="88" t="s">
        <v>13</v>
      </c>
      <c r="C17" s="89"/>
      <c r="D17" s="56">
        <f>SUM(D9:D16)</f>
        <v>129749862784.82001</v>
      </c>
      <c r="E17" s="56">
        <f t="shared" ref="E17:H17" si="1">SUM(E9:E16)</f>
        <v>730000000</v>
      </c>
      <c r="F17" s="56">
        <f t="shared" si="1"/>
        <v>-131933331.7</v>
      </c>
      <c r="G17" s="56">
        <f t="shared" si="1"/>
        <v>14607730.099999994</v>
      </c>
      <c r="H17" s="57">
        <f t="shared" si="1"/>
        <v>130362537183.22</v>
      </c>
    </row>
    <row r="18" spans="1:8" s="41" customFormat="1" ht="45" customHeight="1" thickBot="1" x14ac:dyDescent="0.45">
      <c r="A18" s="37"/>
      <c r="B18" s="90" t="s">
        <v>21</v>
      </c>
      <c r="C18" s="91"/>
      <c r="D18" s="58">
        <f>D17+D8</f>
        <v>132544862784.82001</v>
      </c>
      <c r="E18" s="58">
        <f t="shared" ref="E18:H18" si="2">E17+E8</f>
        <v>12265738000</v>
      </c>
      <c r="F18" s="58">
        <f t="shared" si="2"/>
        <v>-4535865331.6999998</v>
      </c>
      <c r="G18" s="58">
        <f t="shared" si="2"/>
        <v>14607730.099999994</v>
      </c>
      <c r="H18" s="59">
        <f t="shared" si="2"/>
        <v>140289343183.22</v>
      </c>
    </row>
    <row r="20" spans="1:8" s="18" customFormat="1" ht="16" x14ac:dyDescent="0.4">
      <c r="A20" s="1"/>
      <c r="B20" s="15" t="s">
        <v>22</v>
      </c>
      <c r="C20" s="16"/>
      <c r="D20" s="17"/>
      <c r="E20" s="17"/>
      <c r="F20" s="17"/>
      <c r="G20" s="17"/>
      <c r="H20" s="17"/>
    </row>
    <row r="21" spans="1:8" s="18" customFormat="1" x14ac:dyDescent="0.3">
      <c r="A21" s="1"/>
      <c r="B21" s="19" t="s">
        <v>23</v>
      </c>
      <c r="C21" s="16"/>
      <c r="D21" s="20"/>
      <c r="E21" s="20"/>
      <c r="F21" s="20"/>
      <c r="G21" s="20"/>
      <c r="H21" s="20"/>
    </row>
    <row r="22" spans="1:8" s="18" customFormat="1" x14ac:dyDescent="0.3">
      <c r="A22" s="1"/>
      <c r="B22" s="21" t="s">
        <v>24</v>
      </c>
      <c r="C22" s="16"/>
      <c r="D22" s="20"/>
      <c r="E22" s="20"/>
      <c r="F22" s="20"/>
      <c r="G22" s="20"/>
      <c r="H22" s="20"/>
    </row>
    <row r="23" spans="1:8" s="18" customFormat="1" ht="28.5" customHeight="1" x14ac:dyDescent="0.3">
      <c r="A23" s="1"/>
      <c r="B23" s="70" t="s">
        <v>26</v>
      </c>
      <c r="C23" s="70"/>
      <c r="D23" s="70"/>
      <c r="E23" s="70"/>
      <c r="F23" s="70"/>
      <c r="G23" s="70"/>
      <c r="H23" s="70"/>
    </row>
    <row r="24" spans="1:8" s="18" customFormat="1" x14ac:dyDescent="0.3">
      <c r="A24" s="1"/>
      <c r="B24" s="66"/>
      <c r="C24" s="66"/>
      <c r="D24" s="66"/>
      <c r="E24" s="66"/>
      <c r="F24" s="66"/>
      <c r="G24" s="66"/>
      <c r="H24" s="66"/>
    </row>
    <row r="25" spans="1:8" s="18" customFormat="1" x14ac:dyDescent="0.3">
      <c r="A25" s="1"/>
      <c r="B25" s="22" t="s">
        <v>27</v>
      </c>
      <c r="C25" s="16"/>
      <c r="D25" s="17"/>
      <c r="E25" s="17"/>
      <c r="F25" s="17"/>
      <c r="G25" s="17"/>
      <c r="H25" s="17"/>
    </row>
    <row r="26" spans="1:8" s="18" customFormat="1" ht="87" customHeight="1" x14ac:dyDescent="0.3">
      <c r="A26" s="1"/>
      <c r="B26" s="71" t="s">
        <v>25</v>
      </c>
      <c r="C26" s="71"/>
      <c r="D26" s="71"/>
      <c r="E26" s="71"/>
      <c r="F26" s="71"/>
      <c r="G26" s="71"/>
      <c r="H26" s="71"/>
    </row>
  </sheetData>
  <mergeCells count="8">
    <mergeCell ref="B23:H23"/>
    <mergeCell ref="B26:H26"/>
    <mergeCell ref="B4:H4"/>
    <mergeCell ref="B6:B7"/>
    <mergeCell ref="B8:C8"/>
    <mergeCell ref="B9:B16"/>
    <mergeCell ref="B17:C17"/>
    <mergeCell ref="B18:C18"/>
  </mergeCells>
  <pageMargins left="0.7" right="0.7" top="0.75" bottom="0.75" header="0.3" footer="0.3"/>
  <pageSetup paperSize="4" scale="63" orientation="landscape" r:id="rId1"/>
  <headerFooter alignWithMargins="0">
    <oddFooter>&amp;L&amp;"Calibri"&amp;11&amp;K000000_x000D_&amp;1#&amp;"Calibri"&amp;10&amp;K000000Fannie Mae 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E889C-B66C-4A47-89D5-A4FFED346C3F}">
  <dimension ref="A1:J27"/>
  <sheetViews>
    <sheetView tabSelected="1" zoomScale="75" zoomScaleNormal="75" workbookViewId="0">
      <selection activeCell="B4" sqref="B4:H4"/>
    </sheetView>
  </sheetViews>
  <sheetFormatPr defaultRowHeight="13" x14ac:dyDescent="0.3"/>
  <cols>
    <col min="1" max="1" width="2" style="42" customWidth="1"/>
    <col min="2" max="2" width="25.6328125" style="62" customWidth="1"/>
    <col min="3" max="3" width="25.6328125" style="60" customWidth="1"/>
    <col min="4" max="8" width="25.6328125" style="61" customWidth="1"/>
    <col min="10" max="10" width="17.36328125" bestFit="1" customWidth="1"/>
  </cols>
  <sheetData>
    <row r="1" spans="1:10" s="41" customFormat="1" ht="6.9" customHeight="1" x14ac:dyDescent="0.3">
      <c r="A1" s="37"/>
      <c r="B1" s="38"/>
      <c r="C1" s="39"/>
      <c r="D1" s="40"/>
      <c r="E1" s="40"/>
      <c r="F1" s="40"/>
      <c r="G1" s="40"/>
      <c r="H1" s="40"/>
    </row>
    <row r="2" spans="1:10" s="41" customFormat="1" ht="21.5" customHeight="1" x14ac:dyDescent="0.3">
      <c r="A2" s="37"/>
      <c r="B2" s="42"/>
      <c r="C2" s="39"/>
      <c r="D2" s="40"/>
      <c r="E2" s="40"/>
      <c r="F2" s="40"/>
      <c r="G2" s="40"/>
      <c r="H2" s="40"/>
    </row>
    <row r="3" spans="1:10" s="41" customFormat="1" ht="18.149999999999999" customHeight="1" x14ac:dyDescent="0.3">
      <c r="A3" s="37"/>
      <c r="B3" s="43"/>
      <c r="C3" s="39"/>
      <c r="D3" s="40"/>
      <c r="E3" s="40"/>
      <c r="F3" s="40"/>
      <c r="G3" s="40"/>
      <c r="H3" s="40"/>
    </row>
    <row r="4" spans="1:10" s="41" customFormat="1" ht="20.9" customHeight="1" thickBot="1" x14ac:dyDescent="0.6">
      <c r="A4" s="37"/>
      <c r="B4" s="82" t="s">
        <v>41</v>
      </c>
      <c r="C4" s="82"/>
      <c r="D4" s="82"/>
      <c r="E4" s="82"/>
      <c r="F4" s="82"/>
      <c r="G4" s="82"/>
      <c r="H4" s="82"/>
    </row>
    <row r="5" spans="1:10" s="41" customFormat="1" ht="57.75" customHeight="1" x14ac:dyDescent="0.3">
      <c r="A5" s="37"/>
      <c r="B5" s="44" t="s">
        <v>0</v>
      </c>
      <c r="C5" s="45" t="s">
        <v>1</v>
      </c>
      <c r="D5" s="46" t="s">
        <v>14</v>
      </c>
      <c r="E5" s="46" t="s">
        <v>15</v>
      </c>
      <c r="F5" s="46" t="s">
        <v>16</v>
      </c>
      <c r="G5" s="46" t="s">
        <v>17</v>
      </c>
      <c r="H5" s="47" t="s">
        <v>18</v>
      </c>
    </row>
    <row r="6" spans="1:10" s="41" customFormat="1" ht="39.9" customHeight="1" x14ac:dyDescent="0.4">
      <c r="A6" s="37"/>
      <c r="B6" s="83" t="s">
        <v>19</v>
      </c>
      <c r="C6" s="48" t="s">
        <v>2</v>
      </c>
      <c r="D6" s="49">
        <f>-VLOOKUP(C6,[12]Summary!$A$5:$B$46,2,0)</f>
        <v>9926806000</v>
      </c>
      <c r="E6" s="49">
        <f>-VLOOKUP(C6,[12]Summary!$A$5:$E$46,5,0)</f>
        <v>15501792000</v>
      </c>
      <c r="F6" s="49">
        <f>-VLOOKUP(C6,[12]Summary!$A$5:$J$46,10,0)</f>
        <v>-15789937000</v>
      </c>
      <c r="G6" s="49">
        <v>0</v>
      </c>
      <c r="H6" s="50">
        <f>-VLOOKUP(C6,[12]Summary!$A$5:$L$46,12,0)</f>
        <v>9638661000</v>
      </c>
    </row>
    <row r="7" spans="1:10" s="41" customFormat="1" ht="39.9" customHeight="1" x14ac:dyDescent="0.4">
      <c r="A7" s="37"/>
      <c r="B7" s="84"/>
      <c r="C7" s="48" t="s">
        <v>3</v>
      </c>
      <c r="D7" s="49">
        <v>0</v>
      </c>
      <c r="E7" s="49">
        <v>0</v>
      </c>
      <c r="F7" s="49">
        <v>0</v>
      </c>
      <c r="G7" s="49">
        <v>0</v>
      </c>
      <c r="H7" s="50">
        <v>0</v>
      </c>
    </row>
    <row r="8" spans="1:10" s="41" customFormat="1" ht="39.9" customHeight="1" x14ac:dyDescent="0.4">
      <c r="A8" s="37"/>
      <c r="B8" s="69"/>
      <c r="C8" s="48" t="s">
        <v>42</v>
      </c>
      <c r="D8" s="49">
        <f>-VLOOKUP(C8,[12]Summary!$A$5:$B$46,2,0)</f>
        <v>0</v>
      </c>
      <c r="E8" s="49">
        <f>-VLOOKUP(C8,[12]Summary!$A$5:$E$46,5,0)</f>
        <v>590000000</v>
      </c>
      <c r="F8" s="49">
        <f>-VLOOKUP(C8,[12]Summary!$A$5:$J$46,10,0)</f>
        <v>0</v>
      </c>
      <c r="G8" s="49">
        <v>0</v>
      </c>
      <c r="H8" s="50">
        <f>-VLOOKUP(C8,[12]Summary!$A$5:$L$46,12,0)</f>
        <v>590000000</v>
      </c>
    </row>
    <row r="9" spans="1:10" s="41" customFormat="1" ht="39.9" customHeight="1" x14ac:dyDescent="0.4">
      <c r="A9" s="37"/>
      <c r="B9" s="85" t="s">
        <v>4</v>
      </c>
      <c r="C9" s="86"/>
      <c r="D9" s="51">
        <f>SUM(D6:D8)</f>
        <v>9926806000</v>
      </c>
      <c r="E9" s="51">
        <f t="shared" ref="E9:H9" si="0">SUM(E6:E8)</f>
        <v>16091792000</v>
      </c>
      <c r="F9" s="51">
        <f t="shared" si="0"/>
        <v>-15789937000</v>
      </c>
      <c r="G9" s="51">
        <f t="shared" si="0"/>
        <v>0</v>
      </c>
      <c r="H9" s="51">
        <f t="shared" si="0"/>
        <v>10228661000</v>
      </c>
    </row>
    <row r="10" spans="1:10" s="41" customFormat="1" ht="39.9" customHeight="1" x14ac:dyDescent="0.4">
      <c r="A10" s="37"/>
      <c r="B10" s="83" t="s">
        <v>20</v>
      </c>
      <c r="C10" s="48" t="s">
        <v>5</v>
      </c>
      <c r="D10" s="49">
        <f>-VLOOKUP(C10,[12]Summary!$A$5:$B$46,2,0)</f>
        <v>76739666000</v>
      </c>
      <c r="E10" s="49">
        <f>-VLOOKUP(C10,[12]Summary!$A$5:$E$46,5,0)</f>
        <v>0</v>
      </c>
      <c r="F10" s="49">
        <f>-VLOOKUP(C10,[12]Summary!$A$5:$J$46,10,0)</f>
        <v>0</v>
      </c>
      <c r="G10" s="49">
        <v>0</v>
      </c>
      <c r="H10" s="50">
        <f>-VLOOKUP(C10,[12]Summary!$A$5:$L$46,12,0)</f>
        <v>76739666000</v>
      </c>
    </row>
    <row r="11" spans="1:10" s="54" customFormat="1" ht="39.9" customHeight="1" x14ac:dyDescent="0.4">
      <c r="A11" s="53"/>
      <c r="B11" s="87"/>
      <c r="C11" s="48" t="s">
        <v>6</v>
      </c>
      <c r="D11" s="49">
        <f>-VLOOKUP(C11,[12]Summary!$A$5:$B$46,2,0)</f>
        <v>38061290000</v>
      </c>
      <c r="E11" s="49">
        <f>-VLOOKUP(C11,[12]Summary!$A$5:$E$46,5,0)</f>
        <v>231000000</v>
      </c>
      <c r="F11" s="49">
        <f>-VLOOKUP(C11,[12]Summary!$A$5:$J$46,10,0)</f>
        <v>0</v>
      </c>
      <c r="G11" s="49"/>
      <c r="H11" s="50">
        <f>-VLOOKUP(C11,[12]Summary!$A$5:$L$46,12,0)</f>
        <v>38292290000</v>
      </c>
    </row>
    <row r="12" spans="1:10" s="41" customFormat="1" ht="39.9" customHeight="1" x14ac:dyDescent="0.4">
      <c r="A12" s="37"/>
      <c r="B12" s="87"/>
      <c r="C12" s="48" t="s">
        <v>7</v>
      </c>
      <c r="D12" s="49">
        <v>0</v>
      </c>
      <c r="E12" s="49">
        <v>0</v>
      </c>
      <c r="F12" s="49">
        <v>0</v>
      </c>
      <c r="G12" s="49">
        <v>0</v>
      </c>
      <c r="H12" s="50">
        <v>0</v>
      </c>
    </row>
    <row r="13" spans="1:10" s="41" customFormat="1" ht="39.9" customHeight="1" x14ac:dyDescent="0.4">
      <c r="A13" s="37"/>
      <c r="B13" s="87"/>
      <c r="C13" s="48" t="s">
        <v>8</v>
      </c>
      <c r="D13" s="49">
        <v>0</v>
      </c>
      <c r="E13" s="49">
        <v>0</v>
      </c>
      <c r="F13" s="49">
        <v>0</v>
      </c>
      <c r="G13" s="49">
        <v>0</v>
      </c>
      <c r="H13" s="50">
        <v>0</v>
      </c>
    </row>
    <row r="14" spans="1:10" s="41" customFormat="1" ht="39.9" customHeight="1" x14ac:dyDescent="0.4">
      <c r="A14" s="37"/>
      <c r="B14" s="87"/>
      <c r="C14" s="48" t="s">
        <v>9</v>
      </c>
      <c r="D14" s="49">
        <f>-VLOOKUP(C14,[12]Summary!$A$5:$B$46,2,0)+-[12]Summary!B41</f>
        <v>6769010523.2599993</v>
      </c>
      <c r="E14" s="49">
        <f>-VLOOKUP(C14,[12]Summary!$A$5:$E$46,5,0)</f>
        <v>0</v>
      </c>
      <c r="F14" s="49">
        <f>-VLOOKUP(C14,[12]Summary!$A$5:$J$46,10,0)+-[12]Summary!J41</f>
        <v>-1570876392.4200001</v>
      </c>
      <c r="G14" s="49">
        <v>0</v>
      </c>
      <c r="H14" s="50">
        <f>-VLOOKUP(C14,[12]Summary!$A$5:$L$46,12,0)+-[12]Summary!L41</f>
        <v>5198134130.8400002</v>
      </c>
      <c r="J14" s="67"/>
    </row>
    <row r="15" spans="1:10" s="41" customFormat="1" ht="39.9" customHeight="1" x14ac:dyDescent="0.4">
      <c r="A15" s="37"/>
      <c r="B15" s="87"/>
      <c r="C15" s="48" t="s">
        <v>10</v>
      </c>
      <c r="D15" s="49">
        <f>-VLOOKUP(C15,[12]Summary!$A$5:$B$46,2,0)</f>
        <v>299049251.95999998</v>
      </c>
      <c r="E15" s="49">
        <f>-VLOOKUP(C15,[12]Summary!$A$5:$E$46,5,0)</f>
        <v>0</v>
      </c>
      <c r="F15" s="49">
        <f>-VLOOKUP(C15,[12]Summary!$A$5:$J$46,10,0)</f>
        <v>0</v>
      </c>
      <c r="G15" s="49">
        <f>-VLOOKUP(C15,[12]Summary!$A$5:$K$46,11,0)</f>
        <v>620022.99</v>
      </c>
      <c r="H15" s="50">
        <f>-VLOOKUP(C15,[12]Summary!$A$5:$L$46,12,0)</f>
        <v>299669274.94999999</v>
      </c>
    </row>
    <row r="16" spans="1:10" s="41" customFormat="1" ht="39.9" customHeight="1" x14ac:dyDescent="0.4">
      <c r="A16" s="37"/>
      <c r="B16" s="87"/>
      <c r="C16" s="48" t="s">
        <v>11</v>
      </c>
      <c r="D16" s="49">
        <f>-VLOOKUP(C16,[12]Summary!$A$5:$B$46,2,0)</f>
        <v>8243521408</v>
      </c>
      <c r="E16" s="49">
        <f>-VLOOKUP(C16,[12]Summary!$A$5:$E$46,5,0)</f>
        <v>0</v>
      </c>
      <c r="F16" s="49">
        <f>-VLOOKUP(C16,[12]Summary!$A$5:$J$46,10,0)</f>
        <v>0</v>
      </c>
      <c r="G16" s="49"/>
      <c r="H16" s="50">
        <f>-VLOOKUP(C16,[12]Summary!$A$5:$L$46,12,0)</f>
        <v>8243521408</v>
      </c>
    </row>
    <row r="17" spans="1:10" s="41" customFormat="1" ht="39.9" customHeight="1" x14ac:dyDescent="0.4">
      <c r="A17" s="37"/>
      <c r="B17" s="87"/>
      <c r="C17" s="48" t="s">
        <v>12</v>
      </c>
      <c r="D17" s="49">
        <f>-VLOOKUP(C17,[12]Summary!$A$5:$B$46,2,0)</f>
        <v>250000000</v>
      </c>
      <c r="E17" s="49">
        <f>-VLOOKUP(C17,[12]Summary!$A$5:$E$46,5,0)</f>
        <v>0</v>
      </c>
      <c r="F17" s="49">
        <f>-VLOOKUP(C17,[12]Summary!$A$5:$J$46,10,0)</f>
        <v>0</v>
      </c>
      <c r="G17" s="49">
        <v>0</v>
      </c>
      <c r="H17" s="50">
        <f>-VLOOKUP(C17,[12]Summary!$A$5:$L$46,12,0)</f>
        <v>250000000</v>
      </c>
      <c r="J17" s="55"/>
    </row>
    <row r="18" spans="1:10" s="41" customFormat="1" ht="45" customHeight="1" x14ac:dyDescent="0.4">
      <c r="A18" s="37"/>
      <c r="B18" s="88" t="s">
        <v>13</v>
      </c>
      <c r="C18" s="89"/>
      <c r="D18" s="56">
        <f>SUM(D10:D17)</f>
        <v>130362537183.22</v>
      </c>
      <c r="E18" s="56">
        <f t="shared" ref="E18:H18" si="1">SUM(E10:E17)</f>
        <v>231000000</v>
      </c>
      <c r="F18" s="56">
        <f t="shared" si="1"/>
        <v>-1570876392.4200001</v>
      </c>
      <c r="G18" s="56">
        <f t="shared" si="1"/>
        <v>620022.99</v>
      </c>
      <c r="H18" s="57">
        <f t="shared" si="1"/>
        <v>129023280813.78999</v>
      </c>
    </row>
    <row r="19" spans="1:10" s="41" customFormat="1" ht="45" customHeight="1" thickBot="1" x14ac:dyDescent="0.45">
      <c r="A19" s="37"/>
      <c r="B19" s="90" t="s">
        <v>21</v>
      </c>
      <c r="C19" s="91"/>
      <c r="D19" s="58">
        <f>D18+D9</f>
        <v>140289343183.22</v>
      </c>
      <c r="E19" s="58">
        <f t="shared" ref="E19:H19" si="2">E18+E9</f>
        <v>16322792000</v>
      </c>
      <c r="F19" s="58">
        <f t="shared" si="2"/>
        <v>-17360813392.419998</v>
      </c>
      <c r="G19" s="58">
        <f t="shared" si="2"/>
        <v>620022.99</v>
      </c>
      <c r="H19" s="59">
        <f t="shared" si="2"/>
        <v>139251941813.78998</v>
      </c>
    </row>
    <row r="21" spans="1:10" s="18" customFormat="1" ht="16" x14ac:dyDescent="0.4">
      <c r="A21" s="1"/>
      <c r="B21" s="15" t="s">
        <v>22</v>
      </c>
      <c r="C21" s="16"/>
      <c r="D21" s="17"/>
      <c r="E21" s="17"/>
      <c r="F21" s="17"/>
      <c r="G21" s="17"/>
      <c r="H21" s="17"/>
    </row>
    <row r="22" spans="1:10" s="18" customFormat="1" x14ac:dyDescent="0.3">
      <c r="A22" s="1"/>
      <c r="B22" s="19" t="s">
        <v>23</v>
      </c>
      <c r="C22" s="16"/>
      <c r="D22" s="20"/>
      <c r="E22" s="20"/>
      <c r="F22" s="20"/>
      <c r="G22" s="20"/>
      <c r="H22" s="20"/>
    </row>
    <row r="23" spans="1:10" s="18" customFormat="1" x14ac:dyDescent="0.3">
      <c r="A23" s="1"/>
      <c r="B23" s="21" t="s">
        <v>24</v>
      </c>
      <c r="C23" s="16"/>
      <c r="D23" s="20"/>
      <c r="E23" s="20"/>
      <c r="F23" s="20"/>
      <c r="G23" s="20"/>
      <c r="H23" s="20"/>
    </row>
    <row r="24" spans="1:10" s="18" customFormat="1" ht="28.5" customHeight="1" x14ac:dyDescent="0.3">
      <c r="A24" s="1"/>
      <c r="B24" s="70" t="s">
        <v>26</v>
      </c>
      <c r="C24" s="70"/>
      <c r="D24" s="70"/>
      <c r="E24" s="70"/>
      <c r="F24" s="70"/>
      <c r="G24" s="70"/>
      <c r="H24" s="70"/>
    </row>
    <row r="25" spans="1:10" s="18" customFormat="1" x14ac:dyDescent="0.3">
      <c r="A25" s="1"/>
      <c r="B25" s="68"/>
      <c r="C25" s="68"/>
      <c r="D25" s="68"/>
      <c r="E25" s="68"/>
      <c r="F25" s="68"/>
      <c r="G25" s="68"/>
      <c r="H25" s="68"/>
    </row>
    <row r="26" spans="1:10" s="18" customFormat="1" x14ac:dyDescent="0.3">
      <c r="A26" s="1"/>
      <c r="B26" s="22" t="s">
        <v>27</v>
      </c>
      <c r="C26" s="16"/>
      <c r="D26" s="17"/>
      <c r="E26" s="17"/>
      <c r="F26" s="17"/>
      <c r="G26" s="17"/>
      <c r="H26" s="17"/>
    </row>
    <row r="27" spans="1:10" s="18" customFormat="1" ht="87" customHeight="1" x14ac:dyDescent="0.3">
      <c r="A27" s="1"/>
      <c r="B27" s="71" t="s">
        <v>25</v>
      </c>
      <c r="C27" s="71"/>
      <c r="D27" s="71"/>
      <c r="E27" s="71"/>
      <c r="F27" s="71"/>
      <c r="G27" s="71"/>
      <c r="H27" s="71"/>
    </row>
  </sheetData>
  <mergeCells count="8">
    <mergeCell ref="B24:H24"/>
    <mergeCell ref="B27:H27"/>
    <mergeCell ref="B4:H4"/>
    <mergeCell ref="B6:B7"/>
    <mergeCell ref="B9:C9"/>
    <mergeCell ref="B10:B17"/>
    <mergeCell ref="B18:C18"/>
    <mergeCell ref="B19:C19"/>
  </mergeCells>
  <pageMargins left="0.7" right="0.7" top="0.75" bottom="0.75" header="0.3" footer="0.3"/>
  <pageSetup paperSize="4" scale="60" orientation="landscape" r:id="rId1"/>
  <headerFooter alignWithMargins="0">
    <oddFooter>&amp;L&amp;"Calibri"&amp;11&amp;K000000_x000D_&amp;1#&amp;"Calibri"&amp;10&amp;K000000Fannie Mae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BEFBE-829B-4D98-B54E-8D3178393D3F}">
  <dimension ref="A1:J27"/>
  <sheetViews>
    <sheetView zoomScale="75" zoomScaleNormal="75" workbookViewId="0">
      <selection activeCell="B4" sqref="B4:H4"/>
    </sheetView>
  </sheetViews>
  <sheetFormatPr defaultRowHeight="13" x14ac:dyDescent="0.3"/>
  <cols>
    <col min="1" max="1" width="2" style="42" customWidth="1"/>
    <col min="2" max="2" width="25.6328125" style="62" customWidth="1"/>
    <col min="3" max="3" width="25.6328125" style="60" customWidth="1"/>
    <col min="4" max="8" width="25.6328125" style="61" customWidth="1"/>
    <col min="10" max="10" width="17.36328125" bestFit="1" customWidth="1"/>
  </cols>
  <sheetData>
    <row r="1" spans="1:10" s="41" customFormat="1" ht="6.9" customHeight="1" x14ac:dyDescent="0.3">
      <c r="A1" s="37"/>
      <c r="B1" s="38"/>
      <c r="C1" s="39"/>
      <c r="D1" s="40"/>
      <c r="E1" s="40"/>
      <c r="F1" s="40"/>
      <c r="G1" s="40"/>
      <c r="H1" s="40"/>
    </row>
    <row r="2" spans="1:10" s="41" customFormat="1" ht="21.5" customHeight="1" x14ac:dyDescent="0.3">
      <c r="A2" s="37"/>
      <c r="B2" s="42"/>
      <c r="C2" s="39"/>
      <c r="D2" s="40"/>
      <c r="E2" s="40"/>
      <c r="F2" s="40"/>
      <c r="G2" s="40"/>
      <c r="H2" s="40"/>
    </row>
    <row r="3" spans="1:10" s="41" customFormat="1" ht="18.149999999999999" customHeight="1" x14ac:dyDescent="0.3">
      <c r="A3" s="37"/>
      <c r="B3" s="43"/>
      <c r="C3" s="39"/>
      <c r="D3" s="40"/>
      <c r="E3" s="40"/>
      <c r="F3" s="40"/>
      <c r="G3" s="40"/>
      <c r="H3" s="40"/>
    </row>
    <row r="4" spans="1:10" s="41" customFormat="1" ht="20.9" customHeight="1" thickBot="1" x14ac:dyDescent="0.6">
      <c r="A4" s="37"/>
      <c r="B4" s="82" t="s">
        <v>30</v>
      </c>
      <c r="C4" s="82"/>
      <c r="D4" s="82"/>
      <c r="E4" s="82"/>
      <c r="F4" s="82"/>
      <c r="G4" s="82"/>
      <c r="H4" s="82"/>
    </row>
    <row r="5" spans="1:10" s="41" customFormat="1" ht="57.75" customHeight="1" x14ac:dyDescent="0.3">
      <c r="A5" s="37"/>
      <c r="B5" s="44" t="s">
        <v>0</v>
      </c>
      <c r="C5" s="45" t="s">
        <v>1</v>
      </c>
      <c r="D5" s="46" t="s">
        <v>14</v>
      </c>
      <c r="E5" s="46" t="s">
        <v>15</v>
      </c>
      <c r="F5" s="46" t="s">
        <v>16</v>
      </c>
      <c r="G5" s="46" t="s">
        <v>17</v>
      </c>
      <c r="H5" s="47" t="s">
        <v>18</v>
      </c>
    </row>
    <row r="6" spans="1:10" s="41" customFormat="1" ht="39.9" customHeight="1" x14ac:dyDescent="0.4">
      <c r="A6" s="37"/>
      <c r="B6" s="83" t="s">
        <v>19</v>
      </c>
      <c r="C6" s="48" t="s">
        <v>2</v>
      </c>
      <c r="D6" s="49">
        <f>-VLOOKUP(C6,[2]Summary!$A$5:$B$45,2,0)</f>
        <v>2545000000</v>
      </c>
      <c r="E6" s="49">
        <f>-VLOOKUP(C6,[2]Summary!$A$5:$E$45,5,0)</f>
        <v>11000000000</v>
      </c>
      <c r="F6" s="49">
        <f>-VLOOKUP(C6,[2]Summary!$A$5:$J$45,10,0)</f>
        <v>-10750000000</v>
      </c>
      <c r="G6" s="49">
        <v>0</v>
      </c>
      <c r="H6" s="50">
        <f>-VLOOKUP(C6,[2]Summary!$A$5:$L$45,12,0)</f>
        <v>2795000000</v>
      </c>
    </row>
    <row r="7" spans="1:10" s="41" customFormat="1" ht="39.9" customHeight="1" x14ac:dyDescent="0.4">
      <c r="A7" s="37"/>
      <c r="B7" s="84"/>
      <c r="C7" s="48" t="s">
        <v>3</v>
      </c>
      <c r="D7" s="49">
        <v>0</v>
      </c>
      <c r="E7" s="49">
        <v>0</v>
      </c>
      <c r="F7" s="49">
        <v>0</v>
      </c>
      <c r="G7" s="49">
        <v>0</v>
      </c>
      <c r="H7" s="50">
        <v>0</v>
      </c>
    </row>
    <row r="8" spans="1:10" s="41" customFormat="1" ht="39.9" customHeight="1" x14ac:dyDescent="0.4">
      <c r="A8" s="37"/>
      <c r="B8" s="85" t="s">
        <v>4</v>
      </c>
      <c r="C8" s="86"/>
      <c r="D8" s="51">
        <f>SUM(D6:D7)</f>
        <v>2545000000</v>
      </c>
      <c r="E8" s="51">
        <f t="shared" ref="E8:H8" si="0">SUM(E6:E7)</f>
        <v>11000000000</v>
      </c>
      <c r="F8" s="51">
        <f t="shared" si="0"/>
        <v>-10750000000</v>
      </c>
      <c r="G8" s="51">
        <f t="shared" si="0"/>
        <v>0</v>
      </c>
      <c r="H8" s="52">
        <f t="shared" si="0"/>
        <v>2795000000</v>
      </c>
    </row>
    <row r="9" spans="1:10" s="41" customFormat="1" ht="39.9" customHeight="1" x14ac:dyDescent="0.4">
      <c r="A9" s="37"/>
      <c r="B9" s="83" t="s">
        <v>20</v>
      </c>
      <c r="C9" s="48" t="s">
        <v>5</v>
      </c>
      <c r="D9" s="49">
        <f>-VLOOKUP(C9,[2]Summary!$A$5:$B$45,2,0)</f>
        <v>85739666000</v>
      </c>
      <c r="E9" s="49">
        <f>-VLOOKUP(C9,[2]Summary!$A$5:$E$45,5,0)</f>
        <v>0</v>
      </c>
      <c r="F9" s="49">
        <f>-VLOOKUP(C9,[2]Summary!$A$5:$J$45,10,0)</f>
        <v>0</v>
      </c>
      <c r="G9" s="49">
        <v>0</v>
      </c>
      <c r="H9" s="50">
        <f>-VLOOKUP(C9,[2]Summary!$A$5:$L$45,12,0)</f>
        <v>85739666000</v>
      </c>
    </row>
    <row r="10" spans="1:10" s="54" customFormat="1" ht="39.9" customHeight="1" x14ac:dyDescent="0.4">
      <c r="A10" s="53"/>
      <c r="B10" s="87"/>
      <c r="C10" s="48" t="s">
        <v>6</v>
      </c>
      <c r="D10" s="49">
        <f>-VLOOKUP(C10,[2]Summary!$A$5:$B$45,2,0)</f>
        <v>37213790000</v>
      </c>
      <c r="E10" s="49">
        <f>-VLOOKUP(C10,[2]Summary!$A$5:$E$45,5,0)</f>
        <v>0</v>
      </c>
      <c r="F10" s="49">
        <f>-VLOOKUP(C10,[2]Summary!$A$5:$J$45,10,0)</f>
        <v>0</v>
      </c>
      <c r="G10" s="49">
        <v>0</v>
      </c>
      <c r="H10" s="50">
        <f>-VLOOKUP(C10,[2]Summary!$A$5:$L$45,12,0)</f>
        <v>37213790000</v>
      </c>
    </row>
    <row r="11" spans="1:10" s="41" customFormat="1" ht="39.9" customHeight="1" x14ac:dyDescent="0.4">
      <c r="A11" s="37"/>
      <c r="B11" s="87"/>
      <c r="C11" s="48" t="s">
        <v>7</v>
      </c>
      <c r="D11" s="49">
        <v>0</v>
      </c>
      <c r="E11" s="49">
        <v>0</v>
      </c>
      <c r="F11" s="49">
        <v>0</v>
      </c>
      <c r="G11" s="49">
        <v>0</v>
      </c>
      <c r="H11" s="50">
        <v>0</v>
      </c>
    </row>
    <row r="12" spans="1:10" s="41" customFormat="1" ht="39.9" customHeight="1" x14ac:dyDescent="0.4">
      <c r="A12" s="37"/>
      <c r="B12" s="87"/>
      <c r="C12" s="48" t="s">
        <v>8</v>
      </c>
      <c r="D12" s="49">
        <v>0</v>
      </c>
      <c r="E12" s="49">
        <v>0</v>
      </c>
      <c r="F12" s="49">
        <v>0</v>
      </c>
      <c r="G12" s="49">
        <v>0</v>
      </c>
      <c r="H12" s="50">
        <v>0</v>
      </c>
    </row>
    <row r="13" spans="1:10" s="41" customFormat="1" ht="39.9" customHeight="1" x14ac:dyDescent="0.4">
      <c r="A13" s="37"/>
      <c r="B13" s="87"/>
      <c r="C13" s="48" t="s">
        <v>9</v>
      </c>
      <c r="D13" s="49">
        <f>-VLOOKUP(C13,[2]Summary!$A$5:$B$45,2,0)+-[2]Summary!B38</f>
        <v>10948968010.68</v>
      </c>
      <c r="E13" s="49">
        <f>-VLOOKUP(C13,[2]Summary!$A$5:$E$45,5,0)</f>
        <v>0</v>
      </c>
      <c r="F13" s="49">
        <f>-VLOOKUP(C13,[2]Summary!$A$5:$J$45,10,0)+-[2]Summary!J38</f>
        <v>-256391796.81</v>
      </c>
      <c r="G13" s="49">
        <v>0</v>
      </c>
      <c r="H13" s="50">
        <f>-VLOOKUP(C13,[2]Summary!$A$5:$L$45,12,0)+-[2]Summary!L38</f>
        <v>10692576213.870001</v>
      </c>
    </row>
    <row r="14" spans="1:10" s="41" customFormat="1" ht="39.9" customHeight="1" x14ac:dyDescent="0.4">
      <c r="A14" s="37"/>
      <c r="B14" s="87"/>
      <c r="C14" s="48" t="s">
        <v>10</v>
      </c>
      <c r="D14" s="49">
        <f>-VLOOKUP(C14,[2]Summary!$A$5:$B$45,2,0)</f>
        <v>333497702.30000001</v>
      </c>
      <c r="E14" s="49">
        <f>-VLOOKUP(C14,[2]Summary!$A$5:$E$45,5,0)</f>
        <v>0</v>
      </c>
      <c r="F14" s="49">
        <f>-VLOOKUP(C14,[2]Summary!$A$5:$J$45,10,0)</f>
        <v>0</v>
      </c>
      <c r="G14" s="49">
        <f>-VLOOKUP(C14,[2]Summary!$A$5:$K$45,11,0)</f>
        <v>-669624.30000000005</v>
      </c>
      <c r="H14" s="50">
        <f>-VLOOKUP(C14,[2]Summary!$A$5:$L$45,12,0)</f>
        <v>332828078</v>
      </c>
    </row>
    <row r="15" spans="1:10" s="41" customFormat="1" ht="39.9" customHeight="1" x14ac:dyDescent="0.4">
      <c r="A15" s="37"/>
      <c r="B15" s="87"/>
      <c r="C15" s="48" t="s">
        <v>11</v>
      </c>
      <c r="D15" s="49">
        <f>-VLOOKUP(C15,[2]Summary!$A$5:$B$45,2,0)</f>
        <v>8155177244</v>
      </c>
      <c r="E15" s="49">
        <f>-VLOOKUP(C15,[2]Summary!$A$5:$E$45,5,0)</f>
        <v>0</v>
      </c>
      <c r="F15" s="49">
        <f>-VLOOKUP(C15,[2]Summary!$A$5:$J$45,10,0)</f>
        <v>-90000000</v>
      </c>
      <c r="G15" s="49"/>
      <c r="H15" s="50">
        <f>-VLOOKUP(C15,[2]Summary!$A$5:$L$45,12,0)</f>
        <v>8065177244</v>
      </c>
    </row>
    <row r="16" spans="1:10" s="41" customFormat="1" ht="39.9" customHeight="1" x14ac:dyDescent="0.4">
      <c r="A16" s="37"/>
      <c r="B16" s="87"/>
      <c r="C16" s="48" t="s">
        <v>12</v>
      </c>
      <c r="D16" s="49">
        <f>-VLOOKUP(C16,[2]Summary!$A$5:$B$45,2,0)+-[2]Summary!B44</f>
        <v>43601000000</v>
      </c>
      <c r="E16" s="49">
        <f>-VLOOKUP(C16,[2]Summary!$A$5:$E$45,5,0)</f>
        <v>0</v>
      </c>
      <c r="F16" s="49">
        <f>-VLOOKUP(C16,[2]Summary!$A$5:$J$45,10,0)+-[2]Summary!J44</f>
        <v>0</v>
      </c>
      <c r="G16" s="49">
        <v>0</v>
      </c>
      <c r="H16" s="50">
        <f>-VLOOKUP(C16,[2]Summary!$A$5:$L$45,12,0)+-[2]Summary!L44</f>
        <v>43601000000</v>
      </c>
      <c r="J16" s="55"/>
    </row>
    <row r="17" spans="1:8" s="41" customFormat="1" ht="45" customHeight="1" x14ac:dyDescent="0.4">
      <c r="A17" s="37"/>
      <c r="B17" s="88" t="s">
        <v>13</v>
      </c>
      <c r="C17" s="89"/>
      <c r="D17" s="56">
        <f>SUM(D9:D16)</f>
        <v>185992098956.97998</v>
      </c>
      <c r="E17" s="56">
        <f t="shared" ref="E17:H17" si="1">SUM(E9:E16)</f>
        <v>0</v>
      </c>
      <c r="F17" s="56">
        <f t="shared" si="1"/>
        <v>-346391796.81</v>
      </c>
      <c r="G17" s="56">
        <f t="shared" si="1"/>
        <v>-669624.30000000005</v>
      </c>
      <c r="H17" s="57">
        <f t="shared" si="1"/>
        <v>185645037535.87</v>
      </c>
    </row>
    <row r="18" spans="1:8" s="41" customFormat="1" ht="45" customHeight="1" thickBot="1" x14ac:dyDescent="0.45">
      <c r="A18" s="37"/>
      <c r="B18" s="90" t="s">
        <v>21</v>
      </c>
      <c r="C18" s="91"/>
      <c r="D18" s="58">
        <f>D17+D8</f>
        <v>188537098956.97998</v>
      </c>
      <c r="E18" s="58">
        <f t="shared" ref="E18:H18" si="2">E17+E8</f>
        <v>11000000000</v>
      </c>
      <c r="F18" s="58">
        <f t="shared" si="2"/>
        <v>-11096391796.809999</v>
      </c>
      <c r="G18" s="58">
        <f t="shared" si="2"/>
        <v>-669624.30000000005</v>
      </c>
      <c r="H18" s="59">
        <f t="shared" si="2"/>
        <v>188440037535.87</v>
      </c>
    </row>
    <row r="20" spans="1:8" s="18" customFormat="1" ht="16" x14ac:dyDescent="0.4">
      <c r="A20" s="1"/>
      <c r="B20" s="15" t="s">
        <v>22</v>
      </c>
      <c r="C20" s="16"/>
      <c r="D20" s="17"/>
      <c r="E20" s="17"/>
      <c r="F20" s="17"/>
      <c r="G20" s="17"/>
      <c r="H20" s="17"/>
    </row>
    <row r="21" spans="1:8" s="18" customFormat="1" x14ac:dyDescent="0.3">
      <c r="A21" s="1"/>
      <c r="B21" s="19" t="s">
        <v>23</v>
      </c>
      <c r="C21" s="16"/>
      <c r="D21" s="20"/>
      <c r="E21" s="20"/>
      <c r="F21" s="20"/>
      <c r="G21" s="20"/>
      <c r="H21" s="20"/>
    </row>
    <row r="22" spans="1:8" s="18" customFormat="1" x14ac:dyDescent="0.3">
      <c r="A22" s="1"/>
      <c r="B22" s="21" t="s">
        <v>24</v>
      </c>
      <c r="C22" s="16"/>
      <c r="D22" s="20"/>
      <c r="E22" s="20"/>
      <c r="F22" s="20"/>
      <c r="G22" s="20"/>
      <c r="H22" s="20"/>
    </row>
    <row r="23" spans="1:8" s="18" customFormat="1" ht="28.5" customHeight="1" x14ac:dyDescent="0.3">
      <c r="A23" s="1"/>
      <c r="B23" s="70" t="s">
        <v>26</v>
      </c>
      <c r="C23" s="70"/>
      <c r="D23" s="70"/>
      <c r="E23" s="70"/>
      <c r="F23" s="70"/>
      <c r="G23" s="70"/>
      <c r="H23" s="70"/>
    </row>
    <row r="24" spans="1:8" s="18" customFormat="1" x14ac:dyDescent="0.3">
      <c r="A24" s="1"/>
      <c r="B24" s="19" t="s">
        <v>31</v>
      </c>
      <c r="C24" s="16"/>
      <c r="D24" s="20"/>
      <c r="E24" s="20"/>
      <c r="F24" s="20"/>
      <c r="G24" s="20"/>
      <c r="H24" s="20"/>
    </row>
    <row r="25" spans="1:8" s="18" customFormat="1" x14ac:dyDescent="0.3">
      <c r="A25" s="1"/>
      <c r="B25" s="22"/>
      <c r="C25" s="16"/>
      <c r="D25" s="17"/>
      <c r="E25" s="17"/>
      <c r="F25" s="17"/>
      <c r="G25" s="17"/>
      <c r="H25" s="17"/>
    </row>
    <row r="26" spans="1:8" s="18" customFormat="1" x14ac:dyDescent="0.3">
      <c r="A26" s="1"/>
      <c r="B26" s="22" t="s">
        <v>27</v>
      </c>
      <c r="C26" s="16"/>
      <c r="D26" s="17"/>
      <c r="E26" s="17"/>
      <c r="F26" s="17"/>
      <c r="G26" s="17"/>
      <c r="H26" s="17"/>
    </row>
    <row r="27" spans="1:8" s="18" customFormat="1" ht="87" customHeight="1" x14ac:dyDescent="0.3">
      <c r="A27" s="1"/>
      <c r="B27" s="71" t="s">
        <v>25</v>
      </c>
      <c r="C27" s="71"/>
      <c r="D27" s="71"/>
      <c r="E27" s="71"/>
      <c r="F27" s="71"/>
      <c r="G27" s="71"/>
      <c r="H27" s="71"/>
    </row>
  </sheetData>
  <mergeCells count="8">
    <mergeCell ref="B23:H23"/>
    <mergeCell ref="B27:H27"/>
    <mergeCell ref="B4:H4"/>
    <mergeCell ref="B6:B7"/>
    <mergeCell ref="B8:C8"/>
    <mergeCell ref="B9:B16"/>
    <mergeCell ref="B17:C17"/>
    <mergeCell ref="B18:C18"/>
  </mergeCells>
  <pageMargins left="0.7" right="0.7" top="0.75" bottom="0.75" header="0.3" footer="0.3"/>
  <pageSetup paperSize="4" scale="60" orientation="landscape" r:id="rId1"/>
  <headerFooter alignWithMargins="0">
    <oddFooter>&amp;L&amp;1#&amp;"Calibri"&amp;10&amp;K000000Fannie Mae Confidential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0816-AA84-4DA6-B693-8322119B656F}">
  <dimension ref="A1:J26"/>
  <sheetViews>
    <sheetView zoomScale="75" zoomScaleNormal="75" workbookViewId="0">
      <selection activeCell="B4" sqref="B4:H4"/>
    </sheetView>
  </sheetViews>
  <sheetFormatPr defaultRowHeight="13" x14ac:dyDescent="0.3"/>
  <cols>
    <col min="1" max="1" width="2" style="42" customWidth="1"/>
    <col min="2" max="2" width="25.6328125" style="62" customWidth="1"/>
    <col min="3" max="3" width="25.6328125" style="60" customWidth="1"/>
    <col min="4" max="8" width="25.6328125" style="61" customWidth="1"/>
    <col min="10" max="10" width="17.36328125" bestFit="1" customWidth="1"/>
  </cols>
  <sheetData>
    <row r="1" spans="1:10" s="41" customFormat="1" ht="6.9" customHeight="1" x14ac:dyDescent="0.3">
      <c r="A1" s="37"/>
      <c r="B1" s="38"/>
      <c r="C1" s="39"/>
      <c r="D1" s="40"/>
      <c r="E1" s="40"/>
      <c r="F1" s="40"/>
      <c r="G1" s="40"/>
      <c r="H1" s="40"/>
    </row>
    <row r="2" spans="1:10" s="41" customFormat="1" ht="21.5" customHeight="1" x14ac:dyDescent="0.3">
      <c r="A2" s="37"/>
      <c r="B2" s="42"/>
      <c r="C2" s="39"/>
      <c r="D2" s="40"/>
      <c r="E2" s="40"/>
      <c r="F2" s="40"/>
      <c r="G2" s="40"/>
      <c r="H2" s="40"/>
    </row>
    <row r="3" spans="1:10" s="41" customFormat="1" ht="18.149999999999999" customHeight="1" x14ac:dyDescent="0.3">
      <c r="A3" s="37"/>
      <c r="B3" s="43"/>
      <c r="C3" s="39"/>
      <c r="D3" s="40"/>
      <c r="E3" s="40"/>
      <c r="F3" s="40"/>
      <c r="G3" s="40"/>
      <c r="H3" s="40"/>
    </row>
    <row r="4" spans="1:10" s="41" customFormat="1" ht="20.9" customHeight="1" thickBot="1" x14ac:dyDescent="0.6">
      <c r="A4" s="37"/>
      <c r="B4" s="82" t="s">
        <v>32</v>
      </c>
      <c r="C4" s="82"/>
      <c r="D4" s="82"/>
      <c r="E4" s="82"/>
      <c r="F4" s="82"/>
      <c r="G4" s="82"/>
      <c r="H4" s="82"/>
    </row>
    <row r="5" spans="1:10" s="41" customFormat="1" ht="57.75" customHeight="1" x14ac:dyDescent="0.3">
      <c r="A5" s="37"/>
      <c r="B5" s="44" t="s">
        <v>0</v>
      </c>
      <c r="C5" s="45" t="s">
        <v>1</v>
      </c>
      <c r="D5" s="46" t="s">
        <v>14</v>
      </c>
      <c r="E5" s="46" t="s">
        <v>15</v>
      </c>
      <c r="F5" s="46" t="s">
        <v>16</v>
      </c>
      <c r="G5" s="46" t="s">
        <v>17</v>
      </c>
      <c r="H5" s="47" t="s">
        <v>18</v>
      </c>
    </row>
    <row r="6" spans="1:10" s="41" customFormat="1" ht="39.9" customHeight="1" x14ac:dyDescent="0.4">
      <c r="A6" s="37"/>
      <c r="B6" s="83" t="s">
        <v>19</v>
      </c>
      <c r="C6" s="48" t="s">
        <v>2</v>
      </c>
      <c r="D6" s="49">
        <f>-VLOOKUP(C6,[3]Summary!$A$5:$B$45,2,0)</f>
        <v>2795000000</v>
      </c>
      <c r="E6" s="49">
        <f>-VLOOKUP(C6,[3]Summary!$A$5:$E$45,5,0)</f>
        <v>15500000000</v>
      </c>
      <c r="F6" s="49">
        <f>-VLOOKUP(C6,[3]Summary!$A$5:$J$45,10,0)</f>
        <v>-14250000000</v>
      </c>
      <c r="G6" s="49">
        <v>0</v>
      </c>
      <c r="H6" s="50">
        <f>-VLOOKUP(C6,[3]Summary!$A$5:$L$45,12,0)</f>
        <v>4045000000</v>
      </c>
    </row>
    <row r="7" spans="1:10" s="41" customFormat="1" ht="39.9" customHeight="1" x14ac:dyDescent="0.4">
      <c r="A7" s="37"/>
      <c r="B7" s="84"/>
      <c r="C7" s="48" t="s">
        <v>3</v>
      </c>
      <c r="D7" s="49">
        <v>0</v>
      </c>
      <c r="E7" s="49">
        <v>0</v>
      </c>
      <c r="F7" s="49">
        <v>0</v>
      </c>
      <c r="G7" s="49">
        <v>0</v>
      </c>
      <c r="H7" s="50">
        <v>0</v>
      </c>
    </row>
    <row r="8" spans="1:10" s="41" customFormat="1" ht="39.9" customHeight="1" x14ac:dyDescent="0.4">
      <c r="A8" s="37"/>
      <c r="B8" s="85" t="s">
        <v>4</v>
      </c>
      <c r="C8" s="86"/>
      <c r="D8" s="51">
        <f>SUM(D6:D7)</f>
        <v>2795000000</v>
      </c>
      <c r="E8" s="51">
        <f>SUM(E6:E7)</f>
        <v>15500000000</v>
      </c>
      <c r="F8" s="51">
        <f>SUM(F6:F7)</f>
        <v>-14250000000</v>
      </c>
      <c r="G8" s="51">
        <f>SUM(G6:G7)</f>
        <v>0</v>
      </c>
      <c r="H8" s="52">
        <f>SUM(H6:H7)</f>
        <v>4045000000</v>
      </c>
    </row>
    <row r="9" spans="1:10" s="41" customFormat="1" ht="39.9" customHeight="1" x14ac:dyDescent="0.4">
      <c r="A9" s="37"/>
      <c r="B9" s="83" t="s">
        <v>20</v>
      </c>
      <c r="C9" s="48" t="s">
        <v>5</v>
      </c>
      <c r="D9" s="49">
        <f>-VLOOKUP(C9,[3]Summary!$A$5:$B$45,2,0)</f>
        <v>85739666000</v>
      </c>
      <c r="E9" s="49">
        <f>-VLOOKUP(C9,[3]Summary!$A$5:$E$45,5,0)</f>
        <v>0</v>
      </c>
      <c r="F9" s="49">
        <f>-VLOOKUP(C9,[3]Summary!$A$5:$J$45,10,0)</f>
        <v>0</v>
      </c>
      <c r="G9" s="49">
        <v>0</v>
      </c>
      <c r="H9" s="50">
        <f>-VLOOKUP(C9,[3]Summary!$A$5:$L$45,12,0)</f>
        <v>85739666000</v>
      </c>
    </row>
    <row r="10" spans="1:10" s="54" customFormat="1" ht="39.9" customHeight="1" x14ac:dyDescent="0.4">
      <c r="A10" s="53"/>
      <c r="B10" s="87"/>
      <c r="C10" s="48" t="s">
        <v>6</v>
      </c>
      <c r="D10" s="49">
        <f>-VLOOKUP(C10,[3]Summary!$A$5:$B$45,2,0)+60000000</f>
        <v>37213790000</v>
      </c>
      <c r="E10" s="49">
        <f>-VLOOKUP(C10,[3]Summary!$A$5:$E$45,5,0)</f>
        <v>0</v>
      </c>
      <c r="F10" s="49">
        <f>-VLOOKUP(C10,[3]Summary!$A$5:$J$45,10,0)</f>
        <v>0</v>
      </c>
      <c r="G10" s="49">
        <v>-60000000</v>
      </c>
      <c r="H10" s="50">
        <f>-VLOOKUP(C10,[3]Summary!$A$5:$L$45,12,0)</f>
        <v>37153790000</v>
      </c>
    </row>
    <row r="11" spans="1:10" s="41" customFormat="1" ht="39.9" customHeight="1" x14ac:dyDescent="0.4">
      <c r="A11" s="37"/>
      <c r="B11" s="87"/>
      <c r="C11" s="48" t="s">
        <v>7</v>
      </c>
      <c r="D11" s="49">
        <v>0</v>
      </c>
      <c r="E11" s="49">
        <v>0</v>
      </c>
      <c r="F11" s="49">
        <v>0</v>
      </c>
      <c r="G11" s="49">
        <v>0</v>
      </c>
      <c r="H11" s="50">
        <v>0</v>
      </c>
    </row>
    <row r="12" spans="1:10" s="41" customFormat="1" ht="39.9" customHeight="1" x14ac:dyDescent="0.4">
      <c r="A12" s="37"/>
      <c r="B12" s="87"/>
      <c r="C12" s="48" t="s">
        <v>8</v>
      </c>
      <c r="D12" s="49">
        <v>0</v>
      </c>
      <c r="E12" s="49">
        <v>0</v>
      </c>
      <c r="F12" s="49">
        <v>0</v>
      </c>
      <c r="G12" s="49">
        <v>0</v>
      </c>
      <c r="H12" s="50">
        <v>0</v>
      </c>
    </row>
    <row r="13" spans="1:10" s="41" customFormat="1" ht="39.9" customHeight="1" x14ac:dyDescent="0.4">
      <c r="A13" s="37"/>
      <c r="B13" s="87"/>
      <c r="C13" s="48" t="s">
        <v>9</v>
      </c>
      <c r="D13" s="49">
        <f>-VLOOKUP(C13,[3]Summary!$A$5:$B$45,2,0)+-[3]Summary!B38</f>
        <v>10692576213.870001</v>
      </c>
      <c r="E13" s="49">
        <f>-VLOOKUP(C13,[3]Summary!$A$5:$E$45,5,0)</f>
        <v>0</v>
      </c>
      <c r="F13" s="49">
        <f>-VLOOKUP(C13,[3]Summary!$A$5:$J$45,10,0)+-[3]Summary!J38</f>
        <v>-296841492.97000003</v>
      </c>
      <c r="G13" s="49">
        <v>0</v>
      </c>
      <c r="H13" s="50">
        <f>-VLOOKUP(C13,[3]Summary!$A$5:$L$45,12,0)+-[3]Summary!L38</f>
        <v>10395734720.900002</v>
      </c>
    </row>
    <row r="14" spans="1:10" s="41" customFormat="1" ht="39.9" customHeight="1" x14ac:dyDescent="0.4">
      <c r="A14" s="37"/>
      <c r="B14" s="87"/>
      <c r="C14" s="48" t="s">
        <v>10</v>
      </c>
      <c r="D14" s="49">
        <f>-VLOOKUP(C14,[3]Summary!$A$5:$B$45,2,0)</f>
        <v>332828078</v>
      </c>
      <c r="E14" s="49">
        <f>-VLOOKUP(C14,[3]Summary!$A$5:$E$45,5,0)</f>
        <v>0</v>
      </c>
      <c r="F14" s="49">
        <f>-VLOOKUP(C14,[3]Summary!$A$5:$J$45,10,0)</f>
        <v>0</v>
      </c>
      <c r="G14" s="49">
        <f>-VLOOKUP(C14,[3]Summary!$A$5:$K$45,11,0)</f>
        <v>-6993853.7999999998</v>
      </c>
      <c r="H14" s="50">
        <f>-VLOOKUP(C14,[3]Summary!$A$5:$L$45,12,0)</f>
        <v>325834224.19999999</v>
      </c>
    </row>
    <row r="15" spans="1:10" s="41" customFormat="1" ht="39.9" customHeight="1" x14ac:dyDescent="0.4">
      <c r="A15" s="37"/>
      <c r="B15" s="87"/>
      <c r="C15" s="48" t="s">
        <v>11</v>
      </c>
      <c r="D15" s="49">
        <f>-VLOOKUP(C15,[3]Summary!$A$5:$B$45,2,0)-60000000</f>
        <v>8065177244</v>
      </c>
      <c r="E15" s="49">
        <f>-VLOOKUP(C15,[3]Summary!$A$5:$E$45,5,0)</f>
        <v>0</v>
      </c>
      <c r="F15" s="49">
        <f>-VLOOKUP(C15,[3]Summary!$A$5:$J$45,10,0)</f>
        <v>-95000000</v>
      </c>
      <c r="G15" s="49">
        <v>60000000</v>
      </c>
      <c r="H15" s="50">
        <f>-VLOOKUP(C15,[3]Summary!$A$5:$L$45,12,0)</f>
        <v>8030177244</v>
      </c>
    </row>
    <row r="16" spans="1:10" s="41" customFormat="1" ht="39.9" customHeight="1" x14ac:dyDescent="0.4">
      <c r="A16" s="37"/>
      <c r="B16" s="87"/>
      <c r="C16" s="48" t="s">
        <v>12</v>
      </c>
      <c r="D16" s="49">
        <f>-VLOOKUP(C16,[3]Summary!$A$5:$B$45,2,0)+-[3]Summary!B44</f>
        <v>43601000000</v>
      </c>
      <c r="E16" s="49">
        <f>-VLOOKUP(C16,[3]Summary!$A$5:$E$45,5,0)</f>
        <v>0</v>
      </c>
      <c r="F16" s="49">
        <f>-VLOOKUP(C16,[3]Summary!$A$5:$J$45,10,0)+-[3]Summary!J44</f>
        <v>-5940000000</v>
      </c>
      <c r="G16" s="49">
        <v>0</v>
      </c>
      <c r="H16" s="50">
        <f>-VLOOKUP(C16,[3]Summary!$A$5:$L$45,12,0)+-[3]Summary!L44</f>
        <v>37661000000</v>
      </c>
      <c r="J16" s="55"/>
    </row>
    <row r="17" spans="1:8" s="41" customFormat="1" ht="45" customHeight="1" x14ac:dyDescent="0.4">
      <c r="A17" s="37"/>
      <c r="B17" s="88" t="s">
        <v>13</v>
      </c>
      <c r="C17" s="89"/>
      <c r="D17" s="56">
        <f>SUM(D9:D16)</f>
        <v>185645037535.87</v>
      </c>
      <c r="E17" s="56">
        <f>SUM(E9:E16)</f>
        <v>0</v>
      </c>
      <c r="F17" s="56">
        <f>SUM(F9:F16)</f>
        <v>-6331841492.9700003</v>
      </c>
      <c r="G17" s="56">
        <f>SUM(G9:G16)</f>
        <v>-6993853.799999997</v>
      </c>
      <c r="H17" s="57">
        <f>SUM(H9:H16)</f>
        <v>179306202189.09998</v>
      </c>
    </row>
    <row r="18" spans="1:8" s="41" customFormat="1" ht="45" customHeight="1" thickBot="1" x14ac:dyDescent="0.45">
      <c r="A18" s="37"/>
      <c r="B18" s="90" t="s">
        <v>21</v>
      </c>
      <c r="C18" s="91"/>
      <c r="D18" s="58">
        <f>D17+D8</f>
        <v>188440037535.87</v>
      </c>
      <c r="E18" s="58">
        <f>E17+E8</f>
        <v>15500000000</v>
      </c>
      <c r="F18" s="58">
        <f>F17+F8</f>
        <v>-20581841492.970001</v>
      </c>
      <c r="G18" s="58">
        <f>G17+G8</f>
        <v>-6993853.799999997</v>
      </c>
      <c r="H18" s="59">
        <f>H17+H8</f>
        <v>183351202189.09998</v>
      </c>
    </row>
    <row r="20" spans="1:8" s="18" customFormat="1" ht="16" x14ac:dyDescent="0.4">
      <c r="A20" s="1"/>
      <c r="B20" s="15" t="s">
        <v>22</v>
      </c>
      <c r="C20" s="16"/>
      <c r="D20" s="17"/>
      <c r="E20" s="17"/>
      <c r="F20" s="17"/>
      <c r="G20" s="17"/>
      <c r="H20" s="17"/>
    </row>
    <row r="21" spans="1:8" s="18" customFormat="1" x14ac:dyDescent="0.3">
      <c r="A21" s="1"/>
      <c r="B21" s="19" t="s">
        <v>23</v>
      </c>
      <c r="C21" s="16"/>
      <c r="D21" s="20"/>
      <c r="E21" s="20"/>
      <c r="F21" s="20"/>
      <c r="G21" s="20"/>
      <c r="H21" s="20"/>
    </row>
    <row r="22" spans="1:8" s="18" customFormat="1" x14ac:dyDescent="0.3">
      <c r="A22" s="1"/>
      <c r="B22" s="21" t="s">
        <v>24</v>
      </c>
      <c r="C22" s="16"/>
      <c r="D22" s="20"/>
      <c r="E22" s="20"/>
      <c r="F22" s="20"/>
      <c r="G22" s="20"/>
      <c r="H22" s="20"/>
    </row>
    <row r="23" spans="1:8" s="18" customFormat="1" ht="28.5" customHeight="1" x14ac:dyDescent="0.3">
      <c r="A23" s="1"/>
      <c r="B23" s="70" t="s">
        <v>26</v>
      </c>
      <c r="C23" s="70"/>
      <c r="D23" s="70"/>
      <c r="E23" s="70"/>
      <c r="F23" s="70"/>
      <c r="G23" s="70"/>
      <c r="H23" s="70"/>
    </row>
    <row r="24" spans="1:8" s="18" customFormat="1" x14ac:dyDescent="0.3">
      <c r="A24" s="1"/>
      <c r="B24" s="22"/>
      <c r="C24" s="16"/>
      <c r="D24" s="17"/>
      <c r="E24" s="17"/>
      <c r="F24" s="17"/>
      <c r="G24" s="17"/>
      <c r="H24" s="17"/>
    </row>
    <row r="25" spans="1:8" s="18" customFormat="1" x14ac:dyDescent="0.3">
      <c r="A25" s="1"/>
      <c r="B25" s="22" t="s">
        <v>27</v>
      </c>
      <c r="C25" s="16"/>
      <c r="D25" s="17"/>
      <c r="E25" s="17"/>
      <c r="F25" s="17"/>
      <c r="G25" s="17"/>
      <c r="H25" s="17"/>
    </row>
    <row r="26" spans="1:8" s="18" customFormat="1" ht="87" customHeight="1" x14ac:dyDescent="0.3">
      <c r="A26" s="1"/>
      <c r="B26" s="71" t="s">
        <v>25</v>
      </c>
      <c r="C26" s="71"/>
      <c r="D26" s="71"/>
      <c r="E26" s="71"/>
      <c r="F26" s="71"/>
      <c r="G26" s="71"/>
      <c r="H26" s="71"/>
    </row>
  </sheetData>
  <mergeCells count="8">
    <mergeCell ref="B23:H23"/>
    <mergeCell ref="B26:H26"/>
    <mergeCell ref="B18:C18"/>
    <mergeCell ref="B4:H4"/>
    <mergeCell ref="B6:B7"/>
    <mergeCell ref="B8:C8"/>
    <mergeCell ref="B9:B16"/>
    <mergeCell ref="B17:C17"/>
  </mergeCells>
  <pageMargins left="0.7" right="0.7" top="0.75" bottom="0.75" header="0.3" footer="0.3"/>
  <pageSetup paperSize="4" scale="61" orientation="landscape" r:id="rId1"/>
  <headerFooter alignWithMargins="0">
    <oddFooter>&amp;L&amp;1#&amp;"Calibri"&amp;10&amp;K000000Fannie Mae Confidential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03F23-3899-4401-B281-959D3A2D3E6F}">
  <dimension ref="A1:J26"/>
  <sheetViews>
    <sheetView zoomScale="75" zoomScaleNormal="75" workbookViewId="0">
      <selection activeCell="B4" sqref="B4:H4"/>
    </sheetView>
  </sheetViews>
  <sheetFormatPr defaultRowHeight="13" x14ac:dyDescent="0.3"/>
  <cols>
    <col min="1" max="1" width="2" style="42" customWidth="1"/>
    <col min="2" max="2" width="25.6328125" style="62" customWidth="1"/>
    <col min="3" max="3" width="25.6328125" style="60" customWidth="1"/>
    <col min="4" max="8" width="25.6328125" style="61" customWidth="1"/>
    <col min="10" max="10" width="17.36328125" bestFit="1" customWidth="1"/>
  </cols>
  <sheetData>
    <row r="1" spans="1:10" s="41" customFormat="1" ht="6.9" customHeight="1" x14ac:dyDescent="0.3">
      <c r="A1" s="37"/>
      <c r="B1" s="38"/>
      <c r="C1" s="39"/>
      <c r="D1" s="40"/>
      <c r="E1" s="40"/>
      <c r="F1" s="40"/>
      <c r="G1" s="40"/>
      <c r="H1" s="40"/>
    </row>
    <row r="2" spans="1:10" s="41" customFormat="1" ht="21.5" customHeight="1" x14ac:dyDescent="0.3">
      <c r="A2" s="37"/>
      <c r="B2" s="42"/>
      <c r="C2" s="39"/>
      <c r="D2" s="40"/>
      <c r="E2" s="40"/>
      <c r="F2" s="40"/>
      <c r="G2" s="40"/>
      <c r="H2" s="40"/>
    </row>
    <row r="3" spans="1:10" s="41" customFormat="1" ht="18.149999999999999" customHeight="1" x14ac:dyDescent="0.3">
      <c r="A3" s="37"/>
      <c r="B3" s="43"/>
      <c r="C3" s="39"/>
      <c r="D3" s="40"/>
      <c r="E3" s="40"/>
      <c r="F3" s="40"/>
      <c r="G3" s="40"/>
      <c r="H3" s="40"/>
    </row>
    <row r="4" spans="1:10" s="41" customFormat="1" ht="20.9" customHeight="1" thickBot="1" x14ac:dyDescent="0.6">
      <c r="A4" s="37"/>
      <c r="B4" s="82" t="s">
        <v>33</v>
      </c>
      <c r="C4" s="82"/>
      <c r="D4" s="82"/>
      <c r="E4" s="82"/>
      <c r="F4" s="82"/>
      <c r="G4" s="82"/>
      <c r="H4" s="82"/>
    </row>
    <row r="5" spans="1:10" s="41" customFormat="1" ht="57.75" customHeight="1" x14ac:dyDescent="0.3">
      <c r="A5" s="37"/>
      <c r="B5" s="44" t="s">
        <v>0</v>
      </c>
      <c r="C5" s="45" t="s">
        <v>1</v>
      </c>
      <c r="D5" s="46" t="s">
        <v>14</v>
      </c>
      <c r="E5" s="46" t="s">
        <v>15</v>
      </c>
      <c r="F5" s="46" t="s">
        <v>16</v>
      </c>
      <c r="G5" s="46" t="s">
        <v>17</v>
      </c>
      <c r="H5" s="47" t="s">
        <v>18</v>
      </c>
    </row>
    <row r="6" spans="1:10" s="41" customFormat="1" ht="39.9" customHeight="1" x14ac:dyDescent="0.4">
      <c r="A6" s="37"/>
      <c r="B6" s="83" t="s">
        <v>19</v>
      </c>
      <c r="C6" s="48" t="s">
        <v>2</v>
      </c>
      <c r="D6" s="49">
        <f>-VLOOKUP(C6,[4]Summary!$A$5:$B$45,2,0)</f>
        <v>4045000000</v>
      </c>
      <c r="E6" s="49">
        <f>-VLOOKUP(C6,[4]Summary!$A$5:$E$45,5,0)</f>
        <v>6270000000</v>
      </c>
      <c r="F6" s="49">
        <f>-VLOOKUP(C6,[4]Summary!$A$5:$J$45,10,0)</f>
        <v>-7520000000</v>
      </c>
      <c r="G6" s="49">
        <v>0</v>
      </c>
      <c r="H6" s="50">
        <f>-VLOOKUP(C6,[4]Summary!$A$5:$L$45,12,0)</f>
        <v>2795000000</v>
      </c>
    </row>
    <row r="7" spans="1:10" s="41" customFormat="1" ht="39.9" customHeight="1" x14ac:dyDescent="0.4">
      <c r="A7" s="37"/>
      <c r="B7" s="84"/>
      <c r="C7" s="48" t="s">
        <v>3</v>
      </c>
      <c r="D7" s="49">
        <v>0</v>
      </c>
      <c r="E7" s="49">
        <v>0</v>
      </c>
      <c r="F7" s="49">
        <v>0</v>
      </c>
      <c r="G7" s="49">
        <v>0</v>
      </c>
      <c r="H7" s="50">
        <v>0</v>
      </c>
    </row>
    <row r="8" spans="1:10" s="41" customFormat="1" ht="39.9" customHeight="1" x14ac:dyDescent="0.4">
      <c r="A8" s="37"/>
      <c r="B8" s="85" t="s">
        <v>4</v>
      </c>
      <c r="C8" s="86"/>
      <c r="D8" s="51">
        <f>SUM(D6:D7)</f>
        <v>4045000000</v>
      </c>
      <c r="E8" s="51">
        <f t="shared" ref="E8:H8" si="0">SUM(E6:E7)</f>
        <v>6270000000</v>
      </c>
      <c r="F8" s="51">
        <f t="shared" si="0"/>
        <v>-7520000000</v>
      </c>
      <c r="G8" s="51">
        <f t="shared" si="0"/>
        <v>0</v>
      </c>
      <c r="H8" s="52">
        <f t="shared" si="0"/>
        <v>2795000000</v>
      </c>
    </row>
    <row r="9" spans="1:10" s="41" customFormat="1" ht="39.9" customHeight="1" x14ac:dyDescent="0.4">
      <c r="A9" s="37"/>
      <c r="B9" s="83" t="s">
        <v>20</v>
      </c>
      <c r="C9" s="48" t="s">
        <v>5</v>
      </c>
      <c r="D9" s="49">
        <f>-VLOOKUP(C9,[4]Summary!$A$5:$B$45,2,0)</f>
        <v>85739666000</v>
      </c>
      <c r="E9" s="49">
        <f>-VLOOKUP(C9,[4]Summary!$A$5:$E$45,5,0)</f>
        <v>0</v>
      </c>
      <c r="F9" s="49">
        <f>-VLOOKUP(C9,[4]Summary!$A$5:$J$45,10,0)</f>
        <v>-4000000000</v>
      </c>
      <c r="G9" s="49">
        <v>0</v>
      </c>
      <c r="H9" s="50">
        <f>-VLOOKUP(C9,[4]Summary!$A$5:$L$45,12,0)</f>
        <v>81739666000</v>
      </c>
    </row>
    <row r="10" spans="1:10" s="54" customFormat="1" ht="39.9" customHeight="1" x14ac:dyDescent="0.4">
      <c r="A10" s="53"/>
      <c r="B10" s="87"/>
      <c r="C10" s="48" t="s">
        <v>6</v>
      </c>
      <c r="D10" s="49">
        <f>-VLOOKUP(C10,[4]Summary!$A$5:$B$45,2,0)+60000000</f>
        <v>37213790000</v>
      </c>
      <c r="E10" s="49">
        <f>-VLOOKUP(C10,[4]Summary!$A$5:$E$45,5,0)</f>
        <v>0</v>
      </c>
      <c r="F10" s="49">
        <f>-VLOOKUP(C10,[4]Summary!$A$5:$J$45,10,0)</f>
        <v>0</v>
      </c>
      <c r="G10" s="49"/>
      <c r="H10" s="50">
        <f>-VLOOKUP(C10,[4]Summary!$A$5:$L$45,12,0)</f>
        <v>37153790000</v>
      </c>
    </row>
    <row r="11" spans="1:10" s="41" customFormat="1" ht="39.9" customHeight="1" x14ac:dyDescent="0.4">
      <c r="A11" s="37"/>
      <c r="B11" s="87"/>
      <c r="C11" s="48" t="s">
        <v>7</v>
      </c>
      <c r="D11" s="49">
        <v>0</v>
      </c>
      <c r="E11" s="49">
        <v>0</v>
      </c>
      <c r="F11" s="49">
        <v>0</v>
      </c>
      <c r="G11" s="49">
        <v>0</v>
      </c>
      <c r="H11" s="50">
        <v>0</v>
      </c>
    </row>
    <row r="12" spans="1:10" s="41" customFormat="1" ht="39.9" customHeight="1" x14ac:dyDescent="0.4">
      <c r="A12" s="37"/>
      <c r="B12" s="87"/>
      <c r="C12" s="48" t="s">
        <v>8</v>
      </c>
      <c r="D12" s="49">
        <v>0</v>
      </c>
      <c r="E12" s="49">
        <v>0</v>
      </c>
      <c r="F12" s="49">
        <v>0</v>
      </c>
      <c r="G12" s="49">
        <v>0</v>
      </c>
      <c r="H12" s="50">
        <v>0</v>
      </c>
    </row>
    <row r="13" spans="1:10" s="41" customFormat="1" ht="39.9" customHeight="1" x14ac:dyDescent="0.4">
      <c r="A13" s="37"/>
      <c r="B13" s="87"/>
      <c r="C13" s="48" t="s">
        <v>9</v>
      </c>
      <c r="D13" s="49">
        <f>-VLOOKUP(C13,[4]Summary!$A$5:$B$45,2,0)+-[4]Summary!B38</f>
        <v>10395734720.900002</v>
      </c>
      <c r="E13" s="49">
        <f>-VLOOKUP(C13,[4]Summary!$A$5:$E$45,5,0)</f>
        <v>0</v>
      </c>
      <c r="F13" s="49">
        <f>-VLOOKUP(C13,[4]Summary!$A$5:$J$45,10,0)+-[4]Summary!J38</f>
        <v>-258715756.06</v>
      </c>
      <c r="G13" s="49">
        <v>0</v>
      </c>
      <c r="H13" s="50">
        <f>-VLOOKUP(C13,[4]Summary!$A$5:$L$45,12,0)+-[4]Summary!L38</f>
        <v>10137018964.84</v>
      </c>
    </row>
    <row r="14" spans="1:10" s="41" customFormat="1" ht="39.9" customHeight="1" x14ac:dyDescent="0.4">
      <c r="A14" s="37"/>
      <c r="B14" s="87"/>
      <c r="C14" s="48" t="s">
        <v>10</v>
      </c>
      <c r="D14" s="49">
        <f>-VLOOKUP(C14,[4]Summary!$A$5:$B$45,2,0)</f>
        <v>325834224.19999999</v>
      </c>
      <c r="E14" s="49">
        <f>-VLOOKUP(C14,[4]Summary!$A$5:$E$45,5,0)</f>
        <v>0</v>
      </c>
      <c r="F14" s="49">
        <f>-VLOOKUP(C14,[4]Summary!$A$5:$J$45,10,0)</f>
        <v>0</v>
      </c>
      <c r="G14" s="49">
        <f>-VLOOKUP(C14,[4]Summary!$A$5:$K$45,11,0)</f>
        <v>-13987707.6</v>
      </c>
      <c r="H14" s="50">
        <f>-VLOOKUP(C14,[4]Summary!$A$5:$L$45,12,0)</f>
        <v>311846516.60000002</v>
      </c>
    </row>
    <row r="15" spans="1:10" s="41" customFormat="1" ht="39.9" customHeight="1" x14ac:dyDescent="0.4">
      <c r="A15" s="37"/>
      <c r="B15" s="87"/>
      <c r="C15" s="48" t="s">
        <v>11</v>
      </c>
      <c r="D15" s="49">
        <f>-VLOOKUP(C15,[4]Summary!$A$5:$B$45,2,0)-60000000</f>
        <v>7970177244</v>
      </c>
      <c r="E15" s="49">
        <f>-VLOOKUP(C15,[4]Summary!$A$5:$E$45,5,0)</f>
        <v>0</v>
      </c>
      <c r="F15" s="49">
        <f>-VLOOKUP(C15,[4]Summary!$A$5:$J$45,10,0)</f>
        <v>-258222918</v>
      </c>
      <c r="G15" s="49"/>
      <c r="H15" s="50">
        <f>-VLOOKUP(C15,[4]Summary!$A$5:$L$45,12,0)</f>
        <v>7771954326</v>
      </c>
    </row>
    <row r="16" spans="1:10" s="41" customFormat="1" ht="39.9" customHeight="1" x14ac:dyDescent="0.4">
      <c r="A16" s="37"/>
      <c r="B16" s="87"/>
      <c r="C16" s="48" t="s">
        <v>12</v>
      </c>
      <c r="D16" s="49">
        <f>-VLOOKUP(C16,[4]Summary!$A$5:$B$45,2,0)+-[4]Summary!B44</f>
        <v>37661000000</v>
      </c>
      <c r="E16" s="49">
        <f>-VLOOKUP(C16,[4]Summary!$A$5:$E$45,5,0)</f>
        <v>0</v>
      </c>
      <c r="F16" s="49">
        <f>-VLOOKUP(C16,[4]Summary!$A$5:$J$45,10,0)+-[4]Summary!J44</f>
        <v>-10594000000</v>
      </c>
      <c r="G16" s="49">
        <v>0</v>
      </c>
      <c r="H16" s="50">
        <f>-VLOOKUP(C16,[4]Summary!$A$5:$L$45,12,0)+-[4]Summary!L44</f>
        <v>27067000000</v>
      </c>
      <c r="J16" s="55"/>
    </row>
    <row r="17" spans="1:8" s="41" customFormat="1" ht="45" customHeight="1" x14ac:dyDescent="0.4">
      <c r="A17" s="37"/>
      <c r="B17" s="88" t="s">
        <v>13</v>
      </c>
      <c r="C17" s="89"/>
      <c r="D17" s="56">
        <f>SUM(D9:D16)</f>
        <v>179306202189.09998</v>
      </c>
      <c r="E17" s="56">
        <f t="shared" ref="E17:H17" si="1">SUM(E9:E16)</f>
        <v>0</v>
      </c>
      <c r="F17" s="56">
        <f t="shared" si="1"/>
        <v>-15110938674.059999</v>
      </c>
      <c r="G17" s="56">
        <f t="shared" si="1"/>
        <v>-13987707.6</v>
      </c>
      <c r="H17" s="57">
        <f t="shared" si="1"/>
        <v>164181275807.44</v>
      </c>
    </row>
    <row r="18" spans="1:8" s="41" customFormat="1" ht="45" customHeight="1" thickBot="1" x14ac:dyDescent="0.45">
      <c r="A18" s="37"/>
      <c r="B18" s="90" t="s">
        <v>21</v>
      </c>
      <c r="C18" s="91"/>
      <c r="D18" s="58">
        <f>D17+D8</f>
        <v>183351202189.09998</v>
      </c>
      <c r="E18" s="58">
        <f t="shared" ref="E18:H18" si="2">E17+E8</f>
        <v>6270000000</v>
      </c>
      <c r="F18" s="58">
        <f t="shared" si="2"/>
        <v>-22630938674.059998</v>
      </c>
      <c r="G18" s="58">
        <f t="shared" si="2"/>
        <v>-13987707.6</v>
      </c>
      <c r="H18" s="59">
        <f t="shared" si="2"/>
        <v>166976275807.44</v>
      </c>
    </row>
    <row r="20" spans="1:8" s="18" customFormat="1" ht="16" x14ac:dyDescent="0.4">
      <c r="A20" s="1"/>
      <c r="B20" s="15" t="s">
        <v>22</v>
      </c>
      <c r="C20" s="16"/>
      <c r="D20" s="17"/>
      <c r="E20" s="17"/>
      <c r="F20" s="17"/>
      <c r="G20" s="17"/>
      <c r="H20" s="17"/>
    </row>
    <row r="21" spans="1:8" s="18" customFormat="1" x14ac:dyDescent="0.3">
      <c r="A21" s="1"/>
      <c r="B21" s="19" t="s">
        <v>23</v>
      </c>
      <c r="C21" s="16"/>
      <c r="D21" s="20"/>
      <c r="E21" s="20"/>
      <c r="F21" s="20"/>
      <c r="G21" s="20"/>
      <c r="H21" s="20"/>
    </row>
    <row r="22" spans="1:8" s="18" customFormat="1" x14ac:dyDescent="0.3">
      <c r="A22" s="1"/>
      <c r="B22" s="21" t="s">
        <v>24</v>
      </c>
      <c r="C22" s="16"/>
      <c r="D22" s="20"/>
      <c r="E22" s="20"/>
      <c r="F22" s="20"/>
      <c r="G22" s="20"/>
      <c r="H22" s="20"/>
    </row>
    <row r="23" spans="1:8" s="18" customFormat="1" ht="28.5" customHeight="1" x14ac:dyDescent="0.3">
      <c r="A23" s="1"/>
      <c r="B23" s="70" t="s">
        <v>26</v>
      </c>
      <c r="C23" s="70"/>
      <c r="D23" s="70"/>
      <c r="E23" s="70"/>
      <c r="F23" s="70"/>
      <c r="G23" s="70"/>
      <c r="H23" s="70"/>
    </row>
    <row r="24" spans="1:8" s="18" customFormat="1" x14ac:dyDescent="0.3">
      <c r="A24" s="1"/>
      <c r="B24" s="22"/>
      <c r="C24" s="16"/>
      <c r="D24" s="17"/>
      <c r="E24" s="17"/>
      <c r="F24" s="17"/>
      <c r="G24" s="17"/>
      <c r="H24" s="17"/>
    </row>
    <row r="25" spans="1:8" s="18" customFormat="1" x14ac:dyDescent="0.3">
      <c r="A25" s="1"/>
      <c r="B25" s="22" t="s">
        <v>27</v>
      </c>
      <c r="C25" s="16"/>
      <c r="D25" s="17"/>
      <c r="E25" s="17"/>
      <c r="F25" s="17"/>
      <c r="G25" s="17"/>
      <c r="H25" s="17"/>
    </row>
    <row r="26" spans="1:8" s="18" customFormat="1" ht="87" customHeight="1" x14ac:dyDescent="0.3">
      <c r="A26" s="1"/>
      <c r="B26" s="71" t="s">
        <v>25</v>
      </c>
      <c r="C26" s="71"/>
      <c r="D26" s="71"/>
      <c r="E26" s="71"/>
      <c r="F26" s="71"/>
      <c r="G26" s="71"/>
      <c r="H26" s="71"/>
    </row>
  </sheetData>
  <mergeCells count="8">
    <mergeCell ref="B23:H23"/>
    <mergeCell ref="B26:H26"/>
    <mergeCell ref="B4:H4"/>
    <mergeCell ref="B6:B7"/>
    <mergeCell ref="B8:C8"/>
    <mergeCell ref="B9:B16"/>
    <mergeCell ref="B17:C17"/>
    <mergeCell ref="B18:C18"/>
  </mergeCells>
  <pageMargins left="0.7" right="0.7" top="0.75" bottom="0.75" header="0.3" footer="0.3"/>
  <pageSetup paperSize="4" scale="61" orientation="landscape" r:id="rId1"/>
  <headerFooter alignWithMargins="0">
    <oddFooter>&amp;L&amp;1#&amp;"Calibri"&amp;10&amp;K000000Fannie Mae Confidential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87CC1-4BFF-4AE3-836C-87226DEFA0B1}">
  <dimension ref="A1:J26"/>
  <sheetViews>
    <sheetView zoomScale="75" zoomScaleNormal="75" workbookViewId="0">
      <selection activeCell="B4" sqref="B4:H4"/>
    </sheetView>
  </sheetViews>
  <sheetFormatPr defaultRowHeight="13" x14ac:dyDescent="0.3"/>
  <cols>
    <col min="1" max="1" width="2" style="42" customWidth="1"/>
    <col min="2" max="2" width="25.6328125" style="62" customWidth="1"/>
    <col min="3" max="3" width="25.6328125" style="60" customWidth="1"/>
    <col min="4" max="8" width="25.6328125" style="61" customWidth="1"/>
    <col min="10" max="10" width="17.36328125" bestFit="1" customWidth="1"/>
  </cols>
  <sheetData>
    <row r="1" spans="1:10" s="41" customFormat="1" ht="6.9" customHeight="1" x14ac:dyDescent="0.3">
      <c r="A1" s="37"/>
      <c r="B1" s="38"/>
      <c r="C1" s="39"/>
      <c r="D1" s="40"/>
      <c r="E1" s="40"/>
      <c r="F1" s="40"/>
      <c r="G1" s="40"/>
      <c r="H1" s="40"/>
    </row>
    <row r="2" spans="1:10" s="41" customFormat="1" ht="21.5" customHeight="1" x14ac:dyDescent="0.3">
      <c r="A2" s="37"/>
      <c r="B2" s="42"/>
      <c r="C2" s="39"/>
      <c r="D2" s="40"/>
      <c r="E2" s="40"/>
      <c r="F2" s="40"/>
      <c r="G2" s="40"/>
      <c r="H2" s="40"/>
    </row>
    <row r="3" spans="1:10" s="41" customFormat="1" ht="18.149999999999999" customHeight="1" x14ac:dyDescent="0.3">
      <c r="A3" s="37"/>
      <c r="B3" s="43"/>
      <c r="C3" s="39"/>
      <c r="D3" s="40"/>
      <c r="E3" s="40"/>
      <c r="F3" s="40"/>
      <c r="G3" s="40"/>
      <c r="H3" s="40"/>
    </row>
    <row r="4" spans="1:10" s="41" customFormat="1" ht="20.9" customHeight="1" thickBot="1" x14ac:dyDescent="0.6">
      <c r="A4" s="37"/>
      <c r="B4" s="82" t="s">
        <v>34</v>
      </c>
      <c r="C4" s="82"/>
      <c r="D4" s="82"/>
      <c r="E4" s="82"/>
      <c r="F4" s="82"/>
      <c r="G4" s="82"/>
      <c r="H4" s="82"/>
    </row>
    <row r="5" spans="1:10" s="41" customFormat="1" ht="57.75" customHeight="1" x14ac:dyDescent="0.3">
      <c r="A5" s="37"/>
      <c r="B5" s="44" t="s">
        <v>0</v>
      </c>
      <c r="C5" s="45" t="s">
        <v>1</v>
      </c>
      <c r="D5" s="46" t="s">
        <v>14</v>
      </c>
      <c r="E5" s="46" t="s">
        <v>15</v>
      </c>
      <c r="F5" s="46" t="s">
        <v>16</v>
      </c>
      <c r="G5" s="46" t="s">
        <v>17</v>
      </c>
      <c r="H5" s="47" t="s">
        <v>18</v>
      </c>
    </row>
    <row r="6" spans="1:10" s="41" customFormat="1" ht="39.9" customHeight="1" x14ac:dyDescent="0.4">
      <c r="A6" s="37"/>
      <c r="B6" s="83" t="s">
        <v>19</v>
      </c>
      <c r="C6" s="48" t="s">
        <v>2</v>
      </c>
      <c r="D6" s="49">
        <f>-VLOOKUP(C6,[5]Summary!$A$5:$B$45,2,0)</f>
        <v>2795000000</v>
      </c>
      <c r="E6" s="49">
        <f>-VLOOKUP(C6,[5]Summary!$A$5:$E$45,5,0)</f>
        <v>1125000000</v>
      </c>
      <c r="F6" s="49">
        <f>-VLOOKUP(C6,[5]Summary!$A$5:$J$45,10,0)</f>
        <v>-1375000000</v>
      </c>
      <c r="G6" s="49">
        <v>0</v>
      </c>
      <c r="H6" s="50">
        <f>-VLOOKUP(C6,[5]Summary!$A$5:$L$45,12,0)</f>
        <v>2545000000</v>
      </c>
    </row>
    <row r="7" spans="1:10" s="41" customFormat="1" ht="39.9" customHeight="1" x14ac:dyDescent="0.4">
      <c r="A7" s="37"/>
      <c r="B7" s="84"/>
      <c r="C7" s="48" t="s">
        <v>3</v>
      </c>
      <c r="D7" s="49">
        <v>0</v>
      </c>
      <c r="E7" s="49">
        <v>0</v>
      </c>
      <c r="F7" s="49">
        <v>0</v>
      </c>
      <c r="G7" s="49">
        <v>0</v>
      </c>
      <c r="H7" s="50">
        <v>0</v>
      </c>
    </row>
    <row r="8" spans="1:10" s="41" customFormat="1" ht="39.9" customHeight="1" x14ac:dyDescent="0.4">
      <c r="A8" s="37"/>
      <c r="B8" s="85" t="s">
        <v>4</v>
      </c>
      <c r="C8" s="86"/>
      <c r="D8" s="51">
        <f>SUM(D6:D7)</f>
        <v>2795000000</v>
      </c>
      <c r="E8" s="51">
        <f t="shared" ref="E8:H8" si="0">SUM(E6:E7)</f>
        <v>1125000000</v>
      </c>
      <c r="F8" s="51">
        <f t="shared" si="0"/>
        <v>-1375000000</v>
      </c>
      <c r="G8" s="51">
        <f t="shared" si="0"/>
        <v>0</v>
      </c>
      <c r="H8" s="52">
        <f t="shared" si="0"/>
        <v>2545000000</v>
      </c>
    </row>
    <row r="9" spans="1:10" s="41" customFormat="1" ht="39.9" customHeight="1" x14ac:dyDescent="0.4">
      <c r="A9" s="37"/>
      <c r="B9" s="83" t="s">
        <v>20</v>
      </c>
      <c r="C9" s="48" t="s">
        <v>5</v>
      </c>
      <c r="D9" s="49">
        <f>-VLOOKUP(C9,[5]Summary!$A$5:$B$45,2,0)</f>
        <v>81739666000</v>
      </c>
      <c r="E9" s="49">
        <f>-VLOOKUP(C9,[5]Summary!$A$5:$E$45,5,0)</f>
        <v>0</v>
      </c>
      <c r="F9" s="49">
        <f>-VLOOKUP(C9,[5]Summary!$A$5:$J$45,10,0)</f>
        <v>0</v>
      </c>
      <c r="G9" s="49">
        <v>0</v>
      </c>
      <c r="H9" s="50">
        <f>-VLOOKUP(C9,[5]Summary!$A$5:$L$45,12,0)</f>
        <v>81739666000</v>
      </c>
    </row>
    <row r="10" spans="1:10" s="54" customFormat="1" ht="39.9" customHeight="1" x14ac:dyDescent="0.4">
      <c r="A10" s="53"/>
      <c r="B10" s="87"/>
      <c r="C10" s="48" t="s">
        <v>6</v>
      </c>
      <c r="D10" s="49">
        <f>-VLOOKUP(C10,[5]Summary!$A$5:$B$45,2,0)</f>
        <v>37153790000</v>
      </c>
      <c r="E10" s="49">
        <f>-VLOOKUP(C10,[5]Summary!$A$5:$E$45,5,0)</f>
        <v>0</v>
      </c>
      <c r="F10" s="49">
        <f>-VLOOKUP(C10,[5]Summary!$A$5:$J$45,10,0)</f>
        <v>0</v>
      </c>
      <c r="G10" s="49"/>
      <c r="H10" s="50">
        <f>-VLOOKUP(C10,[5]Summary!$A$5:$L$45,12,0)</f>
        <v>37153790000</v>
      </c>
    </row>
    <row r="11" spans="1:10" s="41" customFormat="1" ht="39.9" customHeight="1" x14ac:dyDescent="0.4">
      <c r="A11" s="37"/>
      <c r="B11" s="87"/>
      <c r="C11" s="48" t="s">
        <v>7</v>
      </c>
      <c r="D11" s="49">
        <v>0</v>
      </c>
      <c r="E11" s="49">
        <v>0</v>
      </c>
      <c r="F11" s="49">
        <v>0</v>
      </c>
      <c r="G11" s="49">
        <v>0</v>
      </c>
      <c r="H11" s="50">
        <v>0</v>
      </c>
    </row>
    <row r="12" spans="1:10" s="41" customFormat="1" ht="39.9" customHeight="1" x14ac:dyDescent="0.4">
      <c r="A12" s="37"/>
      <c r="B12" s="87"/>
      <c r="C12" s="48" t="s">
        <v>8</v>
      </c>
      <c r="D12" s="49">
        <v>0</v>
      </c>
      <c r="E12" s="49">
        <v>0</v>
      </c>
      <c r="F12" s="49">
        <v>0</v>
      </c>
      <c r="G12" s="49">
        <v>0</v>
      </c>
      <c r="H12" s="50">
        <v>0</v>
      </c>
    </row>
    <row r="13" spans="1:10" s="41" customFormat="1" ht="39.9" customHeight="1" x14ac:dyDescent="0.4">
      <c r="A13" s="37"/>
      <c r="B13" s="87"/>
      <c r="C13" s="48" t="s">
        <v>9</v>
      </c>
      <c r="D13" s="49">
        <f>-VLOOKUP(C13,[5]Summary!$A$5:$B$45,2,0)+-[5]Summary!B38</f>
        <v>10137018964.84</v>
      </c>
      <c r="E13" s="49">
        <f>-VLOOKUP(C13,[5]Summary!$A$5:$E$45,5,0)</f>
        <v>0</v>
      </c>
      <c r="F13" s="49">
        <f>-VLOOKUP(C13,[5]Summary!$A$5:$J$45,10,0)+-[5]Summary!J38</f>
        <v>-282813051.20999998</v>
      </c>
      <c r="G13" s="49">
        <v>0</v>
      </c>
      <c r="H13" s="50">
        <f>-VLOOKUP(C13,[5]Summary!$A$5:$L$45,12,0)+-[5]Summary!L38</f>
        <v>9854205913.6300011</v>
      </c>
    </row>
    <row r="14" spans="1:10" s="41" customFormat="1" ht="39.9" customHeight="1" x14ac:dyDescent="0.4">
      <c r="A14" s="37"/>
      <c r="B14" s="87"/>
      <c r="C14" s="48" t="s">
        <v>10</v>
      </c>
      <c r="D14" s="49">
        <f>-VLOOKUP(C14,[5]Summary!$A$5:$B$45,2,0)</f>
        <v>311846516.60000002</v>
      </c>
      <c r="E14" s="49">
        <f>-VLOOKUP(C14,[5]Summary!$A$5:$E$45,5,0)</f>
        <v>0</v>
      </c>
      <c r="F14" s="49">
        <f>-VLOOKUP(C14,[5]Summary!$A$5:$J$45,10,0)</f>
        <v>0</v>
      </c>
      <c r="G14" s="49">
        <f>-VLOOKUP(C14,[5]Summary!$A$5:$K$45,11,0)</f>
        <v>694425.45</v>
      </c>
      <c r="H14" s="50">
        <f>-VLOOKUP(C14,[5]Summary!$A$5:$L$45,12,0)</f>
        <v>312540942.05000001</v>
      </c>
    </row>
    <row r="15" spans="1:10" s="41" customFormat="1" ht="39.9" customHeight="1" x14ac:dyDescent="0.4">
      <c r="A15" s="37"/>
      <c r="B15" s="87"/>
      <c r="C15" s="48" t="s">
        <v>11</v>
      </c>
      <c r="D15" s="49">
        <f>-VLOOKUP(C15,[5]Summary!$A$5:$B$45,2,0)</f>
        <v>7771954326</v>
      </c>
      <c r="E15" s="49">
        <f>-VLOOKUP(C15,[5]Summary!$A$5:$E$45,5,0)</f>
        <v>0</v>
      </c>
      <c r="F15" s="49">
        <f>-VLOOKUP(C15,[5]Summary!$A$5:$J$45,10,0)</f>
        <v>-140000000</v>
      </c>
      <c r="G15" s="49"/>
      <c r="H15" s="50">
        <f>-VLOOKUP(C15,[5]Summary!$A$5:$L$45,12,0)</f>
        <v>7631954326</v>
      </c>
    </row>
    <row r="16" spans="1:10" s="41" customFormat="1" ht="39.9" customHeight="1" x14ac:dyDescent="0.4">
      <c r="A16" s="37"/>
      <c r="B16" s="87"/>
      <c r="C16" s="48" t="s">
        <v>12</v>
      </c>
      <c r="D16" s="49">
        <f>-VLOOKUP(C16,[5]Summary!$A$5:$B$45,2,0)+-[5]Summary!B44</f>
        <v>27067000000</v>
      </c>
      <c r="E16" s="49">
        <f>-VLOOKUP(C16,[5]Summary!$A$5:$E$45,5,0)</f>
        <v>0</v>
      </c>
      <c r="F16" s="49">
        <f>-VLOOKUP(C16,[5]Summary!$A$5:$J$45,10,0)+-[5]Summary!J44</f>
        <v>-14775000000</v>
      </c>
      <c r="G16" s="49">
        <v>0</v>
      </c>
      <c r="H16" s="50">
        <f>-VLOOKUP(C16,[5]Summary!$A$5:$L$45,12,0)+-[5]Summary!L44</f>
        <v>12292000000</v>
      </c>
      <c r="J16" s="55"/>
    </row>
    <row r="17" spans="1:8" s="41" customFormat="1" ht="45" customHeight="1" x14ac:dyDescent="0.4">
      <c r="A17" s="37"/>
      <c r="B17" s="88" t="s">
        <v>13</v>
      </c>
      <c r="C17" s="89"/>
      <c r="D17" s="56">
        <f>SUM(D9:D16)</f>
        <v>164181275807.44</v>
      </c>
      <c r="E17" s="56">
        <f t="shared" ref="E17:H17" si="1">SUM(E9:E16)</f>
        <v>0</v>
      </c>
      <c r="F17" s="56">
        <f t="shared" si="1"/>
        <v>-15197813051.209999</v>
      </c>
      <c r="G17" s="56">
        <f t="shared" si="1"/>
        <v>694425.45</v>
      </c>
      <c r="H17" s="57">
        <f t="shared" si="1"/>
        <v>148984157181.67999</v>
      </c>
    </row>
    <row r="18" spans="1:8" s="41" customFormat="1" ht="45" customHeight="1" thickBot="1" x14ac:dyDescent="0.45">
      <c r="A18" s="37"/>
      <c r="B18" s="90" t="s">
        <v>21</v>
      </c>
      <c r="C18" s="91"/>
      <c r="D18" s="58">
        <f>D17+D8</f>
        <v>166976275807.44</v>
      </c>
      <c r="E18" s="58">
        <f t="shared" ref="E18:H18" si="2">E17+E8</f>
        <v>1125000000</v>
      </c>
      <c r="F18" s="58">
        <f t="shared" si="2"/>
        <v>-16572813051.209999</v>
      </c>
      <c r="G18" s="58">
        <f t="shared" si="2"/>
        <v>694425.45</v>
      </c>
      <c r="H18" s="59">
        <f t="shared" si="2"/>
        <v>151529157181.67999</v>
      </c>
    </row>
    <row r="20" spans="1:8" s="18" customFormat="1" ht="16" x14ac:dyDescent="0.4">
      <c r="A20" s="1"/>
      <c r="B20" s="15" t="s">
        <v>22</v>
      </c>
      <c r="C20" s="16"/>
      <c r="D20" s="17"/>
      <c r="E20" s="17"/>
      <c r="F20" s="17"/>
      <c r="G20" s="17"/>
      <c r="H20" s="17"/>
    </row>
    <row r="21" spans="1:8" s="18" customFormat="1" x14ac:dyDescent="0.3">
      <c r="A21" s="1"/>
      <c r="B21" s="19" t="s">
        <v>23</v>
      </c>
      <c r="C21" s="16"/>
      <c r="D21" s="20"/>
      <c r="E21" s="20"/>
      <c r="F21" s="20"/>
      <c r="G21" s="20"/>
      <c r="H21" s="20"/>
    </row>
    <row r="22" spans="1:8" s="18" customFormat="1" x14ac:dyDescent="0.3">
      <c r="A22" s="1"/>
      <c r="B22" s="21" t="s">
        <v>24</v>
      </c>
      <c r="C22" s="16"/>
      <c r="D22" s="20"/>
      <c r="E22" s="20"/>
      <c r="F22" s="20"/>
      <c r="G22" s="20"/>
      <c r="H22" s="20"/>
    </row>
    <row r="23" spans="1:8" s="18" customFormat="1" ht="28.5" customHeight="1" x14ac:dyDescent="0.3">
      <c r="A23" s="1"/>
      <c r="B23" s="70" t="s">
        <v>26</v>
      </c>
      <c r="C23" s="70"/>
      <c r="D23" s="70"/>
      <c r="E23" s="70"/>
      <c r="F23" s="70"/>
      <c r="G23" s="70"/>
      <c r="H23" s="70"/>
    </row>
    <row r="24" spans="1:8" s="18" customFormat="1" x14ac:dyDescent="0.3">
      <c r="A24" s="1"/>
      <c r="B24" s="22"/>
      <c r="C24" s="16"/>
      <c r="D24" s="17"/>
      <c r="E24" s="17"/>
      <c r="F24" s="17"/>
      <c r="G24" s="17"/>
      <c r="H24" s="17"/>
    </row>
    <row r="25" spans="1:8" s="18" customFormat="1" x14ac:dyDescent="0.3">
      <c r="A25" s="1"/>
      <c r="B25" s="22" t="s">
        <v>27</v>
      </c>
      <c r="C25" s="16"/>
      <c r="D25" s="17"/>
      <c r="E25" s="17"/>
      <c r="F25" s="17"/>
      <c r="G25" s="17"/>
      <c r="H25" s="17"/>
    </row>
    <row r="26" spans="1:8" s="18" customFormat="1" ht="87" customHeight="1" x14ac:dyDescent="0.3">
      <c r="A26" s="1"/>
      <c r="B26" s="71" t="s">
        <v>25</v>
      </c>
      <c r="C26" s="71"/>
      <c r="D26" s="71"/>
      <c r="E26" s="71"/>
      <c r="F26" s="71"/>
      <c r="G26" s="71"/>
      <c r="H26" s="71"/>
    </row>
  </sheetData>
  <mergeCells count="8">
    <mergeCell ref="B23:H23"/>
    <mergeCell ref="B26:H26"/>
    <mergeCell ref="B4:H4"/>
    <mergeCell ref="B6:B7"/>
    <mergeCell ref="B8:C8"/>
    <mergeCell ref="B9:B16"/>
    <mergeCell ref="B17:C17"/>
    <mergeCell ref="B18:C18"/>
  </mergeCells>
  <pageMargins left="0.7" right="0.7" top="0.75" bottom="0.75" header="0.3" footer="0.3"/>
  <pageSetup paperSize="4" scale="65" orientation="landscape" r:id="rId1"/>
  <headerFooter alignWithMargins="0">
    <oddFooter>&amp;L&amp;1#&amp;"Calibri"&amp;10&amp;K000000Fannie Mae Confidential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A1648-750F-412D-8265-4F2881EE42E0}">
  <dimension ref="A1:J26"/>
  <sheetViews>
    <sheetView zoomScale="75" zoomScaleNormal="75" workbookViewId="0">
      <selection activeCell="B4" sqref="B4:H4"/>
    </sheetView>
  </sheetViews>
  <sheetFormatPr defaultRowHeight="13" x14ac:dyDescent="0.3"/>
  <cols>
    <col min="1" max="1" width="2" style="42" customWidth="1"/>
    <col min="2" max="2" width="25.6328125" style="62" customWidth="1"/>
    <col min="3" max="3" width="25.6328125" style="60" customWidth="1"/>
    <col min="4" max="8" width="25.6328125" style="61" customWidth="1"/>
    <col min="10" max="10" width="17.36328125" bestFit="1" customWidth="1"/>
  </cols>
  <sheetData>
    <row r="1" spans="1:10" s="41" customFormat="1" ht="6.9" customHeight="1" x14ac:dyDescent="0.3">
      <c r="A1" s="37"/>
      <c r="B1" s="38"/>
      <c r="C1" s="39"/>
      <c r="D1" s="40"/>
      <c r="E1" s="40"/>
      <c r="F1" s="40"/>
      <c r="G1" s="40"/>
      <c r="H1" s="40"/>
    </row>
    <row r="2" spans="1:10" s="41" customFormat="1" ht="21.5" customHeight="1" x14ac:dyDescent="0.3">
      <c r="A2" s="37"/>
      <c r="B2" s="42"/>
      <c r="C2" s="39"/>
      <c r="D2" s="40"/>
      <c r="E2" s="40"/>
      <c r="F2" s="40"/>
      <c r="G2" s="40"/>
      <c r="H2" s="40"/>
    </row>
    <row r="3" spans="1:10" s="41" customFormat="1" ht="18.149999999999999" customHeight="1" x14ac:dyDescent="0.3">
      <c r="A3" s="37"/>
      <c r="B3" s="43"/>
      <c r="C3" s="39"/>
      <c r="D3" s="40"/>
      <c r="E3" s="40"/>
      <c r="F3" s="40"/>
      <c r="G3" s="40"/>
      <c r="H3" s="40"/>
    </row>
    <row r="4" spans="1:10" s="41" customFormat="1" ht="20.9" customHeight="1" thickBot="1" x14ac:dyDescent="0.6">
      <c r="A4" s="37"/>
      <c r="B4" s="82" t="s">
        <v>35</v>
      </c>
      <c r="C4" s="82"/>
      <c r="D4" s="82"/>
      <c r="E4" s="82"/>
      <c r="F4" s="82"/>
      <c r="G4" s="82"/>
      <c r="H4" s="82"/>
    </row>
    <row r="5" spans="1:10" s="41" customFormat="1" ht="57.75" customHeight="1" x14ac:dyDescent="0.3">
      <c r="A5" s="37"/>
      <c r="B5" s="44" t="s">
        <v>0</v>
      </c>
      <c r="C5" s="45" t="s">
        <v>1</v>
      </c>
      <c r="D5" s="46" t="s">
        <v>14</v>
      </c>
      <c r="E5" s="46" t="s">
        <v>15</v>
      </c>
      <c r="F5" s="46" t="s">
        <v>16</v>
      </c>
      <c r="G5" s="46" t="s">
        <v>17</v>
      </c>
      <c r="H5" s="47" t="s">
        <v>18</v>
      </c>
    </row>
    <row r="6" spans="1:10" s="41" customFormat="1" ht="39.9" customHeight="1" x14ac:dyDescent="0.4">
      <c r="A6" s="37"/>
      <c r="B6" s="83" t="s">
        <v>19</v>
      </c>
      <c r="C6" s="48" t="s">
        <v>2</v>
      </c>
      <c r="D6" s="49">
        <f>-VLOOKUP(C6,[6]Summary!$A$5:$B$45,2,0)</f>
        <v>2545000000</v>
      </c>
      <c r="E6" s="49">
        <f>-VLOOKUP(C6,[6]Summary!$A$5:$E$45,5,0)</f>
        <v>6300000000</v>
      </c>
      <c r="F6" s="49">
        <f>-VLOOKUP(C6,[6]Summary!$A$5:$J$45,10,0)</f>
        <v>-1250000000</v>
      </c>
      <c r="G6" s="49">
        <v>0</v>
      </c>
      <c r="H6" s="50">
        <f>-VLOOKUP(C6,[6]Summary!$A$5:$L$45,12,0)</f>
        <v>7595000000</v>
      </c>
    </row>
    <row r="7" spans="1:10" s="41" customFormat="1" ht="39.9" customHeight="1" x14ac:dyDescent="0.4">
      <c r="A7" s="37"/>
      <c r="B7" s="84"/>
      <c r="C7" s="48" t="s">
        <v>3</v>
      </c>
      <c r="D7" s="49">
        <v>0</v>
      </c>
      <c r="E7" s="49">
        <v>0</v>
      </c>
      <c r="F7" s="49">
        <v>0</v>
      </c>
      <c r="G7" s="49">
        <v>0</v>
      </c>
      <c r="H7" s="50">
        <v>0</v>
      </c>
    </row>
    <row r="8" spans="1:10" s="41" customFormat="1" ht="39.9" customHeight="1" x14ac:dyDescent="0.4">
      <c r="A8" s="37"/>
      <c r="B8" s="85" t="s">
        <v>4</v>
      </c>
      <c r="C8" s="86"/>
      <c r="D8" s="51">
        <f>SUM(D6:D7)</f>
        <v>2545000000</v>
      </c>
      <c r="E8" s="51">
        <f t="shared" ref="E8:H8" si="0">SUM(E6:E7)</f>
        <v>6300000000</v>
      </c>
      <c r="F8" s="51">
        <f t="shared" si="0"/>
        <v>-1250000000</v>
      </c>
      <c r="G8" s="51">
        <f t="shared" si="0"/>
        <v>0</v>
      </c>
      <c r="H8" s="52">
        <f t="shared" si="0"/>
        <v>7595000000</v>
      </c>
    </row>
    <row r="9" spans="1:10" s="41" customFormat="1" ht="39.9" customHeight="1" x14ac:dyDescent="0.4">
      <c r="A9" s="37"/>
      <c r="B9" s="83" t="s">
        <v>20</v>
      </c>
      <c r="C9" s="48" t="s">
        <v>5</v>
      </c>
      <c r="D9" s="49">
        <f>-VLOOKUP(C9,[6]Summary!$A$5:$B$45,2,0)</f>
        <v>81739666000</v>
      </c>
      <c r="E9" s="49">
        <f>-VLOOKUP(C9,[6]Summary!$A$5:$E$45,5,0)</f>
        <v>0</v>
      </c>
      <c r="F9" s="49">
        <f>-VLOOKUP(C9,[6]Summary!$A$5:$J$45,10,0)</f>
        <v>0</v>
      </c>
      <c r="G9" s="49">
        <v>0</v>
      </c>
      <c r="H9" s="50">
        <f>-VLOOKUP(C9,[6]Summary!$A$5:$L$45,12,0)</f>
        <v>81739666000</v>
      </c>
    </row>
    <row r="10" spans="1:10" s="54" customFormat="1" ht="39.9" customHeight="1" x14ac:dyDescent="0.4">
      <c r="A10" s="53"/>
      <c r="B10" s="87"/>
      <c r="C10" s="48" t="s">
        <v>6</v>
      </c>
      <c r="D10" s="49">
        <f>-VLOOKUP(C10,[6]Summary!$A$5:$B$45,2,0)</f>
        <v>37153790000</v>
      </c>
      <c r="E10" s="49">
        <f>-VLOOKUP(C10,[6]Summary!$A$5:$E$45,5,0)</f>
        <v>0</v>
      </c>
      <c r="F10" s="49">
        <f>-VLOOKUP(C10,[6]Summary!$A$5:$J$45,10,0)</f>
        <v>0</v>
      </c>
      <c r="G10" s="49"/>
      <c r="H10" s="50">
        <f>-VLOOKUP(C10,[6]Summary!$A$5:$L$45,12,0)</f>
        <v>37153790000</v>
      </c>
    </row>
    <row r="11" spans="1:10" s="41" customFormat="1" ht="39.9" customHeight="1" x14ac:dyDescent="0.4">
      <c r="A11" s="37"/>
      <c r="B11" s="87"/>
      <c r="C11" s="48" t="s">
        <v>7</v>
      </c>
      <c r="D11" s="49">
        <v>0</v>
      </c>
      <c r="E11" s="49">
        <v>0</v>
      </c>
      <c r="F11" s="49">
        <v>0</v>
      </c>
      <c r="G11" s="49">
        <v>0</v>
      </c>
      <c r="H11" s="50">
        <v>0</v>
      </c>
    </row>
    <row r="12" spans="1:10" s="41" customFormat="1" ht="39.9" customHeight="1" x14ac:dyDescent="0.4">
      <c r="A12" s="37"/>
      <c r="B12" s="87"/>
      <c r="C12" s="48" t="s">
        <v>8</v>
      </c>
      <c r="D12" s="49">
        <v>0</v>
      </c>
      <c r="E12" s="49">
        <v>0</v>
      </c>
      <c r="F12" s="49">
        <v>0</v>
      </c>
      <c r="G12" s="49">
        <v>0</v>
      </c>
      <c r="H12" s="50">
        <v>0</v>
      </c>
    </row>
    <row r="13" spans="1:10" s="41" customFormat="1" ht="39.9" customHeight="1" x14ac:dyDescent="0.4">
      <c r="A13" s="37"/>
      <c r="B13" s="87"/>
      <c r="C13" s="48" t="s">
        <v>9</v>
      </c>
      <c r="D13" s="49">
        <f>-VLOOKUP(C13,[6]Summary!$A$5:$B$45,2,0)+-[6]Summary!B38</f>
        <v>9854205913.6300011</v>
      </c>
      <c r="E13" s="49">
        <f>-VLOOKUP(C13,[6]Summary!$A$5:$E$45,5,0)</f>
        <v>0</v>
      </c>
      <c r="F13" s="49">
        <f>-VLOOKUP(C13,[6]Summary!$A$5:$J$45,10,0)+-[6]Summary!J38</f>
        <v>-235769960.90000001</v>
      </c>
      <c r="G13" s="49">
        <v>0</v>
      </c>
      <c r="H13" s="50">
        <f>-VLOOKUP(C13,[6]Summary!$A$5:$L$45,12,0)+-[6]Summary!L38</f>
        <v>9618435952.7299995</v>
      </c>
    </row>
    <row r="14" spans="1:10" s="41" customFormat="1" ht="39.9" customHeight="1" x14ac:dyDescent="0.4">
      <c r="A14" s="37"/>
      <c r="B14" s="87"/>
      <c r="C14" s="48" t="s">
        <v>10</v>
      </c>
      <c r="D14" s="49">
        <f>-VLOOKUP(C14,[6]Summary!$A$5:$B$45,2,0)</f>
        <v>312540942.05000001</v>
      </c>
      <c r="E14" s="49">
        <f>-VLOOKUP(C14,[6]Summary!$A$5:$E$45,5,0)</f>
        <v>0</v>
      </c>
      <c r="F14" s="49">
        <f>-VLOOKUP(C14,[6]Summary!$A$5:$J$45,10,0)</f>
        <v>0</v>
      </c>
      <c r="G14" s="49">
        <f>-VLOOKUP(C14,[6]Summary!$A$5:$K$45,11,0)</f>
        <v>-10515581.85</v>
      </c>
      <c r="H14" s="50">
        <f>-VLOOKUP(C14,[6]Summary!$A$5:$L$45,12,0)</f>
        <v>302025360.19999999</v>
      </c>
    </row>
    <row r="15" spans="1:10" s="41" customFormat="1" ht="39.9" customHeight="1" x14ac:dyDescent="0.4">
      <c r="A15" s="37"/>
      <c r="B15" s="87"/>
      <c r="C15" s="48" t="s">
        <v>11</v>
      </c>
      <c r="D15" s="49">
        <f>-VLOOKUP(C15,[6]Summary!$A$5:$B$45,2,0)</f>
        <v>7631954326</v>
      </c>
      <c r="E15" s="49">
        <f>-VLOOKUP(C15,[6]Summary!$A$5:$E$45,5,0)</f>
        <v>0</v>
      </c>
      <c r="F15" s="49">
        <f>-VLOOKUP(C15,[6]Summary!$A$5:$J$45,10,0)</f>
        <v>0</v>
      </c>
      <c r="G15" s="49"/>
      <c r="H15" s="50">
        <f>-VLOOKUP(C15,[6]Summary!$A$5:$L$45,12,0)</f>
        <v>7631954326</v>
      </c>
    </row>
    <row r="16" spans="1:10" s="41" customFormat="1" ht="39.9" customHeight="1" x14ac:dyDescent="0.4">
      <c r="A16" s="37"/>
      <c r="B16" s="87"/>
      <c r="C16" s="48" t="s">
        <v>12</v>
      </c>
      <c r="D16" s="49">
        <f>-VLOOKUP(C16,[6]Summary!$A$5:$B$45,2,0)+-[6]Summary!B44</f>
        <v>12292000000</v>
      </c>
      <c r="E16" s="49">
        <f>-VLOOKUP(C16,[6]Summary!$A$5:$E$45,5,0)</f>
        <v>0</v>
      </c>
      <c r="F16" s="49">
        <f>-VLOOKUP(C16,[6]Summary!$A$5:$J$45,10,0)+-[6]Summary!J44</f>
        <v>-8017000000</v>
      </c>
      <c r="G16" s="49">
        <v>0</v>
      </c>
      <c r="H16" s="50">
        <f>-VLOOKUP(C16,[6]Summary!$A$5:$L$45,12,0)+-[6]Summary!L44</f>
        <v>4275000000</v>
      </c>
      <c r="J16" s="55"/>
    </row>
    <row r="17" spans="1:8" s="41" customFormat="1" ht="45" customHeight="1" x14ac:dyDescent="0.4">
      <c r="A17" s="37"/>
      <c r="B17" s="88" t="s">
        <v>13</v>
      </c>
      <c r="C17" s="89"/>
      <c r="D17" s="56">
        <f>SUM(D9:D16)</f>
        <v>148984157181.67999</v>
      </c>
      <c r="E17" s="56">
        <f t="shared" ref="E17:H17" si="1">SUM(E9:E16)</f>
        <v>0</v>
      </c>
      <c r="F17" s="56">
        <f t="shared" si="1"/>
        <v>-8252769960.8999996</v>
      </c>
      <c r="G17" s="56">
        <f t="shared" si="1"/>
        <v>-10515581.85</v>
      </c>
      <c r="H17" s="57">
        <f t="shared" si="1"/>
        <v>140720871638.92999</v>
      </c>
    </row>
    <row r="18" spans="1:8" s="41" customFormat="1" ht="45" customHeight="1" thickBot="1" x14ac:dyDescent="0.45">
      <c r="A18" s="37"/>
      <c r="B18" s="90" t="s">
        <v>21</v>
      </c>
      <c r="C18" s="91"/>
      <c r="D18" s="58">
        <f>D17+D8</f>
        <v>151529157181.67999</v>
      </c>
      <c r="E18" s="58">
        <f t="shared" ref="E18:H18" si="2">E17+E8</f>
        <v>6300000000</v>
      </c>
      <c r="F18" s="58">
        <f t="shared" si="2"/>
        <v>-9502769960.8999996</v>
      </c>
      <c r="G18" s="58">
        <f t="shared" si="2"/>
        <v>-10515581.85</v>
      </c>
      <c r="H18" s="59">
        <f t="shared" si="2"/>
        <v>148315871638.92999</v>
      </c>
    </row>
    <row r="20" spans="1:8" s="18" customFormat="1" ht="16" x14ac:dyDescent="0.4">
      <c r="A20" s="1"/>
      <c r="B20" s="15" t="s">
        <v>22</v>
      </c>
      <c r="C20" s="16"/>
      <c r="D20" s="17"/>
      <c r="E20" s="17"/>
      <c r="F20" s="17"/>
      <c r="G20" s="17"/>
      <c r="H20" s="17"/>
    </row>
    <row r="21" spans="1:8" s="18" customFormat="1" x14ac:dyDescent="0.3">
      <c r="A21" s="1"/>
      <c r="B21" s="19" t="s">
        <v>23</v>
      </c>
      <c r="C21" s="16"/>
      <c r="D21" s="20"/>
      <c r="E21" s="20"/>
      <c r="F21" s="20"/>
      <c r="G21" s="20"/>
      <c r="H21" s="20"/>
    </row>
    <row r="22" spans="1:8" s="18" customFormat="1" x14ac:dyDescent="0.3">
      <c r="A22" s="1"/>
      <c r="B22" s="21" t="s">
        <v>24</v>
      </c>
      <c r="C22" s="16"/>
      <c r="D22" s="20"/>
      <c r="E22" s="20"/>
      <c r="F22" s="20"/>
      <c r="G22" s="20"/>
      <c r="H22" s="20"/>
    </row>
    <row r="23" spans="1:8" s="18" customFormat="1" ht="28.5" customHeight="1" x14ac:dyDescent="0.3">
      <c r="A23" s="1"/>
      <c r="B23" s="70" t="s">
        <v>26</v>
      </c>
      <c r="C23" s="70"/>
      <c r="D23" s="70"/>
      <c r="E23" s="70"/>
      <c r="F23" s="70"/>
      <c r="G23" s="70"/>
      <c r="H23" s="70"/>
    </row>
    <row r="24" spans="1:8" s="18" customFormat="1" x14ac:dyDescent="0.3">
      <c r="A24" s="1"/>
      <c r="B24" s="22"/>
      <c r="C24" s="16"/>
      <c r="D24" s="17"/>
      <c r="E24" s="17"/>
      <c r="F24" s="17"/>
      <c r="G24" s="17"/>
      <c r="H24" s="17"/>
    </row>
    <row r="25" spans="1:8" s="18" customFormat="1" x14ac:dyDescent="0.3">
      <c r="A25" s="1"/>
      <c r="B25" s="22" t="s">
        <v>27</v>
      </c>
      <c r="C25" s="16"/>
      <c r="D25" s="17"/>
      <c r="E25" s="17"/>
      <c r="F25" s="17"/>
      <c r="G25" s="17"/>
      <c r="H25" s="17"/>
    </row>
    <row r="26" spans="1:8" s="18" customFormat="1" ht="87" customHeight="1" x14ac:dyDescent="0.3">
      <c r="A26" s="1"/>
      <c r="B26" s="71" t="s">
        <v>25</v>
      </c>
      <c r="C26" s="71"/>
      <c r="D26" s="71"/>
      <c r="E26" s="71"/>
      <c r="F26" s="71"/>
      <c r="G26" s="71"/>
      <c r="H26" s="71"/>
    </row>
  </sheetData>
  <mergeCells count="8">
    <mergeCell ref="B23:H23"/>
    <mergeCell ref="B26:H26"/>
    <mergeCell ref="B4:H4"/>
    <mergeCell ref="B6:B7"/>
    <mergeCell ref="B8:C8"/>
    <mergeCell ref="B9:B16"/>
    <mergeCell ref="B17:C17"/>
    <mergeCell ref="B18:C18"/>
  </mergeCells>
  <pageMargins left="0.7" right="0.7" top="0.75" bottom="0.75" header="0.3" footer="0.3"/>
  <pageSetup paperSize="4" scale="61" orientation="landscape" r:id="rId1"/>
  <headerFooter alignWithMargins="0">
    <oddFooter>&amp;L&amp;1#&amp;"Calibri"&amp;10&amp;K000000Fannie Mae Confidential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4DEE3-E202-4E8F-961A-851D6C6FAFAE}">
  <dimension ref="A1:J26"/>
  <sheetViews>
    <sheetView zoomScale="75" zoomScaleNormal="75" workbookViewId="0">
      <selection activeCell="B4" sqref="B4:H4"/>
    </sheetView>
  </sheetViews>
  <sheetFormatPr defaultRowHeight="13" x14ac:dyDescent="0.3"/>
  <cols>
    <col min="1" max="1" width="2" style="42" customWidth="1"/>
    <col min="2" max="2" width="25.6328125" style="62" customWidth="1"/>
    <col min="3" max="3" width="25.6328125" style="60" customWidth="1"/>
    <col min="4" max="8" width="25.6328125" style="61" customWidth="1"/>
    <col min="10" max="10" width="17.36328125" bestFit="1" customWidth="1"/>
  </cols>
  <sheetData>
    <row r="1" spans="1:10" s="41" customFormat="1" ht="6.9" customHeight="1" x14ac:dyDescent="0.3">
      <c r="A1" s="37"/>
      <c r="B1" s="38"/>
      <c r="C1" s="39"/>
      <c r="D1" s="40"/>
      <c r="E1" s="40"/>
      <c r="F1" s="40"/>
      <c r="G1" s="40"/>
      <c r="H1" s="40"/>
    </row>
    <row r="2" spans="1:10" s="41" customFormat="1" ht="21.5" customHeight="1" x14ac:dyDescent="0.3">
      <c r="A2" s="37"/>
      <c r="B2" s="42"/>
      <c r="C2" s="39"/>
      <c r="D2" s="40"/>
      <c r="E2" s="40"/>
      <c r="F2" s="40"/>
      <c r="G2" s="40"/>
      <c r="H2" s="40"/>
    </row>
    <row r="3" spans="1:10" s="41" customFormat="1" ht="18.149999999999999" customHeight="1" x14ac:dyDescent="0.3">
      <c r="A3" s="37"/>
      <c r="B3" s="43"/>
      <c r="C3" s="39"/>
      <c r="D3" s="40"/>
      <c r="E3" s="40"/>
      <c r="F3" s="40"/>
      <c r="G3" s="40"/>
      <c r="H3" s="40"/>
    </row>
    <row r="4" spans="1:10" s="41" customFormat="1" ht="20.9" customHeight="1" thickBot="1" x14ac:dyDescent="0.6">
      <c r="A4" s="37"/>
      <c r="B4" s="82" t="s">
        <v>36</v>
      </c>
      <c r="C4" s="82"/>
      <c r="D4" s="82"/>
      <c r="E4" s="82"/>
      <c r="F4" s="82"/>
      <c r="G4" s="82"/>
      <c r="H4" s="82"/>
    </row>
    <row r="5" spans="1:10" s="41" customFormat="1" ht="57.75" customHeight="1" x14ac:dyDescent="0.3">
      <c r="A5" s="37"/>
      <c r="B5" s="44" t="s">
        <v>0</v>
      </c>
      <c r="C5" s="45" t="s">
        <v>1</v>
      </c>
      <c r="D5" s="46" t="s">
        <v>14</v>
      </c>
      <c r="E5" s="46" t="s">
        <v>15</v>
      </c>
      <c r="F5" s="46" t="s">
        <v>16</v>
      </c>
      <c r="G5" s="46" t="s">
        <v>17</v>
      </c>
      <c r="H5" s="47" t="s">
        <v>18</v>
      </c>
    </row>
    <row r="6" spans="1:10" s="41" customFormat="1" ht="39.9" customHeight="1" x14ac:dyDescent="0.4">
      <c r="A6" s="37"/>
      <c r="B6" s="83" t="s">
        <v>19</v>
      </c>
      <c r="C6" s="48" t="s">
        <v>2</v>
      </c>
      <c r="D6" s="49">
        <f>-VLOOKUP(C6,[7]Summary!$A$5:$B$45,2,0)</f>
        <v>7595000000</v>
      </c>
      <c r="E6" s="49">
        <f>-VLOOKUP(C6,[7]Summary!$A$5:$E$45,5,0)</f>
        <v>15400000000</v>
      </c>
      <c r="F6" s="49">
        <f>-VLOOKUP(C6,[7]Summary!$A$5:$J$45,10,0)</f>
        <v>-19700000000</v>
      </c>
      <c r="G6" s="49">
        <v>0</v>
      </c>
      <c r="H6" s="50">
        <f>-VLOOKUP(C6,[7]Summary!$A$5:$L$45,12,0)</f>
        <v>3295000000</v>
      </c>
    </row>
    <row r="7" spans="1:10" s="41" customFormat="1" ht="39.9" customHeight="1" x14ac:dyDescent="0.4">
      <c r="A7" s="37"/>
      <c r="B7" s="84"/>
      <c r="C7" s="48" t="s">
        <v>3</v>
      </c>
      <c r="D7" s="49">
        <v>0</v>
      </c>
      <c r="E7" s="49">
        <v>0</v>
      </c>
      <c r="F7" s="49">
        <v>0</v>
      </c>
      <c r="G7" s="49">
        <v>0</v>
      </c>
      <c r="H7" s="50">
        <v>0</v>
      </c>
    </row>
    <row r="8" spans="1:10" s="41" customFormat="1" ht="39.9" customHeight="1" x14ac:dyDescent="0.4">
      <c r="A8" s="37"/>
      <c r="B8" s="85" t="s">
        <v>4</v>
      </c>
      <c r="C8" s="86"/>
      <c r="D8" s="51">
        <f>SUM(D6:D7)</f>
        <v>7595000000</v>
      </c>
      <c r="E8" s="51">
        <f t="shared" ref="E8:H8" si="0">SUM(E6:E7)</f>
        <v>15400000000</v>
      </c>
      <c r="F8" s="51">
        <f t="shared" si="0"/>
        <v>-19700000000</v>
      </c>
      <c r="G8" s="51">
        <f t="shared" si="0"/>
        <v>0</v>
      </c>
      <c r="H8" s="52">
        <f t="shared" si="0"/>
        <v>3295000000</v>
      </c>
    </row>
    <row r="9" spans="1:10" s="41" customFormat="1" ht="39.9" customHeight="1" x14ac:dyDescent="0.4">
      <c r="A9" s="37"/>
      <c r="B9" s="83" t="s">
        <v>20</v>
      </c>
      <c r="C9" s="48" t="s">
        <v>5</v>
      </c>
      <c r="D9" s="49">
        <f>-VLOOKUP(C9,[7]Summary!$A$5:$B$45,2,0)</f>
        <v>81739666000</v>
      </c>
      <c r="E9" s="49">
        <f>-VLOOKUP(C9,[7]Summary!$A$5:$E$45,5,0)</f>
        <v>0</v>
      </c>
      <c r="F9" s="49">
        <f>-VLOOKUP(C9,[7]Summary!$A$5:$J$45,10,0)</f>
        <v>0</v>
      </c>
      <c r="G9" s="49">
        <v>0</v>
      </c>
      <c r="H9" s="50">
        <f>-VLOOKUP(C9,[7]Summary!$A$5:$L$45,12,0)</f>
        <v>81739666000</v>
      </c>
    </row>
    <row r="10" spans="1:10" s="54" customFormat="1" ht="39.9" customHeight="1" x14ac:dyDescent="0.4">
      <c r="A10" s="53"/>
      <c r="B10" s="87"/>
      <c r="C10" s="48" t="s">
        <v>6</v>
      </c>
      <c r="D10" s="49">
        <f>-VLOOKUP(C10,[7]Summary!$A$5:$B$45,2,0)</f>
        <v>37153790000</v>
      </c>
      <c r="E10" s="49">
        <f>-VLOOKUP(C10,[7]Summary!$A$5:$E$45,5,0)</f>
        <v>0</v>
      </c>
      <c r="F10" s="49">
        <f>-VLOOKUP(C10,[7]Summary!$A$5:$J$45,10,0)</f>
        <v>0</v>
      </c>
      <c r="G10" s="49"/>
      <c r="H10" s="50">
        <f>-VLOOKUP(C10,[7]Summary!$A$5:$L$45,12,0)</f>
        <v>37153790000</v>
      </c>
    </row>
    <row r="11" spans="1:10" s="41" customFormat="1" ht="39.9" customHeight="1" x14ac:dyDescent="0.4">
      <c r="A11" s="37"/>
      <c r="B11" s="87"/>
      <c r="C11" s="48" t="s">
        <v>7</v>
      </c>
      <c r="D11" s="49">
        <v>0</v>
      </c>
      <c r="E11" s="49">
        <v>0</v>
      </c>
      <c r="F11" s="49">
        <v>0</v>
      </c>
      <c r="G11" s="49">
        <v>0</v>
      </c>
      <c r="H11" s="50">
        <v>0</v>
      </c>
    </row>
    <row r="12" spans="1:10" s="41" customFormat="1" ht="39.9" customHeight="1" x14ac:dyDescent="0.4">
      <c r="A12" s="37"/>
      <c r="B12" s="87"/>
      <c r="C12" s="48" t="s">
        <v>8</v>
      </c>
      <c r="D12" s="49">
        <v>0</v>
      </c>
      <c r="E12" s="49">
        <v>0</v>
      </c>
      <c r="F12" s="49">
        <v>0</v>
      </c>
      <c r="G12" s="49">
        <v>0</v>
      </c>
      <c r="H12" s="50">
        <v>0</v>
      </c>
    </row>
    <row r="13" spans="1:10" s="41" customFormat="1" ht="39.9" customHeight="1" x14ac:dyDescent="0.4">
      <c r="A13" s="37"/>
      <c r="B13" s="87"/>
      <c r="C13" s="48" t="s">
        <v>9</v>
      </c>
      <c r="D13" s="49">
        <f>-VLOOKUP(C13,[7]Summary!$A$5:$B$45,2,0)+-[7]Summary!B38</f>
        <v>9618435952.7299995</v>
      </c>
      <c r="E13" s="49">
        <f>-VLOOKUP(C13,[7]Summary!$A$5:$E$45,5,0)</f>
        <v>0</v>
      </c>
      <c r="F13" s="49">
        <f>-VLOOKUP(C13,[7]Summary!$A$5:$J$45,10,0)+-[7]Summary!J38</f>
        <v>-2452467183.6799998</v>
      </c>
      <c r="G13" s="49">
        <v>0</v>
      </c>
      <c r="H13" s="50">
        <f>-VLOOKUP(C13,[7]Summary!$A$5:$L$45,12,0)+-[7]Summary!L38</f>
        <v>7165968769.0500002</v>
      </c>
    </row>
    <row r="14" spans="1:10" s="41" customFormat="1" ht="39.9" customHeight="1" x14ac:dyDescent="0.4">
      <c r="A14" s="37"/>
      <c r="B14" s="87"/>
      <c r="C14" s="48" t="s">
        <v>10</v>
      </c>
      <c r="D14" s="49">
        <f>-VLOOKUP(C14,[7]Summary!$A$5:$B$45,2,0)</f>
        <v>302025360.19999999</v>
      </c>
      <c r="E14" s="49">
        <f>-VLOOKUP(C14,[7]Summary!$A$5:$E$45,5,0)</f>
        <v>0</v>
      </c>
      <c r="F14" s="49">
        <f>-VLOOKUP(C14,[7]Summary!$A$5:$J$45,10,0)</f>
        <v>0</v>
      </c>
      <c r="G14" s="49">
        <f>-VLOOKUP(C14,[7]Summary!$A$5:$K$45,11,0)</f>
        <v>-173606.54</v>
      </c>
      <c r="H14" s="50">
        <f>-VLOOKUP(C14,[7]Summary!$A$5:$L$45,12,0)</f>
        <v>301851753.66000003</v>
      </c>
    </row>
    <row r="15" spans="1:10" s="41" customFormat="1" ht="39.9" customHeight="1" x14ac:dyDescent="0.4">
      <c r="A15" s="37"/>
      <c r="B15" s="87"/>
      <c r="C15" s="48" t="s">
        <v>11</v>
      </c>
      <c r="D15" s="49">
        <f>-VLOOKUP(C15,[7]Summary!$A$5:$B$45,2,0)</f>
        <v>7631954326</v>
      </c>
      <c r="E15" s="49">
        <f>-VLOOKUP(C15,[7]Summary!$A$5:$E$45,5,0)</f>
        <v>0</v>
      </c>
      <c r="F15" s="49">
        <f>-VLOOKUP(C15,[7]Summary!$A$5:$J$45,10,0)</f>
        <v>0</v>
      </c>
      <c r="G15" s="49"/>
      <c r="H15" s="50">
        <f>-VLOOKUP(C15,[7]Summary!$A$5:$L$45,12,0)</f>
        <v>7631954326</v>
      </c>
    </row>
    <row r="16" spans="1:10" s="41" customFormat="1" ht="39.9" customHeight="1" x14ac:dyDescent="0.4">
      <c r="A16" s="37"/>
      <c r="B16" s="87"/>
      <c r="C16" s="48" t="s">
        <v>12</v>
      </c>
      <c r="D16" s="49">
        <f>-VLOOKUP(C16,[7]Summary!$A$5:$B$45,2,0)+-[7]Summary!B44</f>
        <v>4275000000</v>
      </c>
      <c r="E16" s="49">
        <f>-VLOOKUP(C16,[7]Summary!$A$5:$E$45,5,0)</f>
        <v>0</v>
      </c>
      <c r="F16" s="49">
        <f>-VLOOKUP(C16,[7]Summary!$A$5:$J$45,10,0)+-[7]Summary!J44</f>
        <v>-4025000000</v>
      </c>
      <c r="G16" s="49">
        <v>0</v>
      </c>
      <c r="H16" s="50">
        <f>-VLOOKUP(C16,[7]Summary!$A$5:$L$45,12,0)+-[7]Summary!L44</f>
        <v>250000000</v>
      </c>
      <c r="J16" s="55"/>
    </row>
    <row r="17" spans="1:8" s="41" customFormat="1" ht="45" customHeight="1" x14ac:dyDescent="0.4">
      <c r="A17" s="37"/>
      <c r="B17" s="88" t="s">
        <v>13</v>
      </c>
      <c r="C17" s="89"/>
      <c r="D17" s="56">
        <f>SUM(D9:D16)</f>
        <v>140720871638.92999</v>
      </c>
      <c r="E17" s="56">
        <f t="shared" ref="E17:H17" si="1">SUM(E9:E16)</f>
        <v>0</v>
      </c>
      <c r="F17" s="56">
        <f t="shared" si="1"/>
        <v>-6477467183.6800003</v>
      </c>
      <c r="G17" s="56">
        <f t="shared" si="1"/>
        <v>-173606.54</v>
      </c>
      <c r="H17" s="57">
        <f t="shared" si="1"/>
        <v>134243230848.71001</v>
      </c>
    </row>
    <row r="18" spans="1:8" s="41" customFormat="1" ht="45" customHeight="1" thickBot="1" x14ac:dyDescent="0.45">
      <c r="A18" s="37"/>
      <c r="B18" s="90" t="s">
        <v>21</v>
      </c>
      <c r="C18" s="91"/>
      <c r="D18" s="58">
        <f>D17+D8</f>
        <v>148315871638.92999</v>
      </c>
      <c r="E18" s="58">
        <f t="shared" ref="E18:H18" si="2">E17+E8</f>
        <v>15400000000</v>
      </c>
      <c r="F18" s="58">
        <f t="shared" si="2"/>
        <v>-26177467183.68</v>
      </c>
      <c r="G18" s="58">
        <f t="shared" si="2"/>
        <v>-173606.54</v>
      </c>
      <c r="H18" s="59">
        <f t="shared" si="2"/>
        <v>137538230848.71002</v>
      </c>
    </row>
    <row r="20" spans="1:8" s="18" customFormat="1" ht="16" x14ac:dyDescent="0.4">
      <c r="A20" s="1"/>
      <c r="B20" s="15" t="s">
        <v>22</v>
      </c>
      <c r="C20" s="16"/>
      <c r="D20" s="17"/>
      <c r="E20" s="17"/>
      <c r="F20" s="17"/>
      <c r="G20" s="17"/>
      <c r="H20" s="17"/>
    </row>
    <row r="21" spans="1:8" s="18" customFormat="1" x14ac:dyDescent="0.3">
      <c r="A21" s="1"/>
      <c r="B21" s="19" t="s">
        <v>23</v>
      </c>
      <c r="C21" s="16"/>
      <c r="D21" s="20"/>
      <c r="E21" s="20"/>
      <c r="F21" s="20"/>
      <c r="G21" s="20"/>
      <c r="H21" s="20"/>
    </row>
    <row r="22" spans="1:8" s="18" customFormat="1" x14ac:dyDescent="0.3">
      <c r="A22" s="1"/>
      <c r="B22" s="21" t="s">
        <v>24</v>
      </c>
      <c r="C22" s="16"/>
      <c r="D22" s="20"/>
      <c r="E22" s="20"/>
      <c r="F22" s="20"/>
      <c r="G22" s="20"/>
      <c r="H22" s="20"/>
    </row>
    <row r="23" spans="1:8" s="18" customFormat="1" ht="28.5" customHeight="1" x14ac:dyDescent="0.3">
      <c r="A23" s="1"/>
      <c r="B23" s="70" t="s">
        <v>26</v>
      </c>
      <c r="C23" s="70"/>
      <c r="D23" s="70"/>
      <c r="E23" s="70"/>
      <c r="F23" s="70"/>
      <c r="G23" s="70"/>
      <c r="H23" s="70"/>
    </row>
    <row r="24" spans="1:8" s="18" customFormat="1" x14ac:dyDescent="0.3">
      <c r="A24" s="1"/>
      <c r="B24" s="63"/>
      <c r="C24" s="63"/>
      <c r="D24" s="63"/>
      <c r="E24" s="63"/>
      <c r="F24" s="63"/>
      <c r="G24" s="63"/>
      <c r="H24" s="63"/>
    </row>
    <row r="25" spans="1:8" s="18" customFormat="1" x14ac:dyDescent="0.3">
      <c r="A25" s="1"/>
      <c r="B25" s="22" t="s">
        <v>27</v>
      </c>
      <c r="C25" s="16"/>
      <c r="D25" s="17"/>
      <c r="E25" s="17"/>
      <c r="F25" s="17"/>
      <c r="G25" s="17"/>
      <c r="H25" s="17"/>
    </row>
    <row r="26" spans="1:8" s="18" customFormat="1" ht="87" customHeight="1" x14ac:dyDescent="0.3">
      <c r="A26" s="1"/>
      <c r="B26" s="71" t="s">
        <v>25</v>
      </c>
      <c r="C26" s="71"/>
      <c r="D26" s="71"/>
      <c r="E26" s="71"/>
      <c r="F26" s="71"/>
      <c r="G26" s="71"/>
      <c r="H26" s="71"/>
    </row>
  </sheetData>
  <mergeCells count="8">
    <mergeCell ref="B26:H26"/>
    <mergeCell ref="B23:H23"/>
    <mergeCell ref="B4:H4"/>
    <mergeCell ref="B6:B7"/>
    <mergeCell ref="B8:C8"/>
    <mergeCell ref="B9:B16"/>
    <mergeCell ref="B17:C17"/>
    <mergeCell ref="B18:C18"/>
  </mergeCells>
  <pageMargins left="0.7" right="0.7" top="0.75" bottom="0.75" header="0.3" footer="0.3"/>
  <pageSetup paperSize="4" scale="61" orientation="landscape" r:id="rId1"/>
  <headerFooter alignWithMargins="0">
    <oddFooter>&amp;L&amp;1#&amp;"Calibri"&amp;10&amp;K000000Fannie Mae Confidential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9A745-EEAE-4EBC-A733-582C9BD71D82}">
  <dimension ref="A1:J26"/>
  <sheetViews>
    <sheetView zoomScale="75" zoomScaleNormal="75" workbookViewId="0">
      <selection activeCell="B4" sqref="B4:H4"/>
    </sheetView>
  </sheetViews>
  <sheetFormatPr defaultRowHeight="13" x14ac:dyDescent="0.3"/>
  <cols>
    <col min="1" max="1" width="2" style="42" customWidth="1"/>
    <col min="2" max="2" width="25.6328125" style="62" customWidth="1"/>
    <col min="3" max="3" width="25.6328125" style="60" customWidth="1"/>
    <col min="4" max="8" width="25.6328125" style="61" customWidth="1"/>
    <col min="10" max="10" width="17.36328125" bestFit="1" customWidth="1"/>
  </cols>
  <sheetData>
    <row r="1" spans="1:10" s="41" customFormat="1" ht="6.9" customHeight="1" x14ac:dyDescent="0.3">
      <c r="A1" s="37"/>
      <c r="B1" s="38"/>
      <c r="C1" s="39"/>
      <c r="D1" s="40"/>
      <c r="E1" s="40"/>
      <c r="F1" s="40"/>
      <c r="G1" s="40"/>
      <c r="H1" s="40"/>
    </row>
    <row r="2" spans="1:10" s="41" customFormat="1" ht="21.5" customHeight="1" x14ac:dyDescent="0.3">
      <c r="A2" s="37"/>
      <c r="B2" s="42"/>
      <c r="C2" s="39"/>
      <c r="D2" s="40"/>
      <c r="E2" s="40"/>
      <c r="F2" s="40"/>
      <c r="G2" s="40"/>
      <c r="H2" s="40"/>
    </row>
    <row r="3" spans="1:10" s="41" customFormat="1" ht="18.149999999999999" customHeight="1" x14ac:dyDescent="0.3">
      <c r="A3" s="37"/>
      <c r="B3" s="43"/>
      <c r="C3" s="39"/>
      <c r="D3" s="40"/>
      <c r="E3" s="40"/>
      <c r="F3" s="40"/>
      <c r="G3" s="40"/>
      <c r="H3" s="40"/>
    </row>
    <row r="4" spans="1:10" s="41" customFormat="1" ht="20.9" customHeight="1" thickBot="1" x14ac:dyDescent="0.6">
      <c r="A4" s="37"/>
      <c r="B4" s="82" t="s">
        <v>37</v>
      </c>
      <c r="C4" s="82"/>
      <c r="D4" s="82"/>
      <c r="E4" s="82"/>
      <c r="F4" s="82"/>
      <c r="G4" s="82"/>
      <c r="H4" s="82"/>
    </row>
    <row r="5" spans="1:10" s="41" customFormat="1" ht="57.75" customHeight="1" x14ac:dyDescent="0.3">
      <c r="A5" s="37"/>
      <c r="B5" s="44" t="s">
        <v>0</v>
      </c>
      <c r="C5" s="45" t="s">
        <v>1</v>
      </c>
      <c r="D5" s="46" t="s">
        <v>14</v>
      </c>
      <c r="E5" s="46" t="s">
        <v>15</v>
      </c>
      <c r="F5" s="46" t="s">
        <v>16</v>
      </c>
      <c r="G5" s="46" t="s">
        <v>17</v>
      </c>
      <c r="H5" s="47" t="s">
        <v>18</v>
      </c>
    </row>
    <row r="6" spans="1:10" s="41" customFormat="1" ht="39.9" customHeight="1" x14ac:dyDescent="0.4">
      <c r="A6" s="37"/>
      <c r="B6" s="83" t="s">
        <v>19</v>
      </c>
      <c r="C6" s="48" t="s">
        <v>2</v>
      </c>
      <c r="D6" s="49">
        <f>-VLOOKUP(C6,[8]Summary!$A$5:$B$45,2,0)</f>
        <v>3295000000</v>
      </c>
      <c r="E6" s="49">
        <f>-VLOOKUP(C6,[8]Summary!$A$5:$E$45,5,0)</f>
        <v>1000000000</v>
      </c>
      <c r="F6" s="49">
        <f>-VLOOKUP(C6,[8]Summary!$A$5:$J$45,10,0)</f>
        <v>-1250000000</v>
      </c>
      <c r="G6" s="49">
        <v>0</v>
      </c>
      <c r="H6" s="50">
        <f>-VLOOKUP(C6,[8]Summary!$A$5:$L$45,12,0)</f>
        <v>3045000000</v>
      </c>
    </row>
    <row r="7" spans="1:10" s="41" customFormat="1" ht="39.9" customHeight="1" x14ac:dyDescent="0.4">
      <c r="A7" s="37"/>
      <c r="B7" s="84"/>
      <c r="C7" s="48" t="s">
        <v>3</v>
      </c>
      <c r="D7" s="49">
        <v>0</v>
      </c>
      <c r="E7" s="49">
        <v>0</v>
      </c>
      <c r="F7" s="49">
        <v>0</v>
      </c>
      <c r="G7" s="49">
        <v>0</v>
      </c>
      <c r="H7" s="50">
        <v>0</v>
      </c>
    </row>
    <row r="8" spans="1:10" s="41" customFormat="1" ht="39.9" customHeight="1" x14ac:dyDescent="0.4">
      <c r="A8" s="37"/>
      <c r="B8" s="85" t="s">
        <v>4</v>
      </c>
      <c r="C8" s="86"/>
      <c r="D8" s="51">
        <f>SUM(D6:D7)</f>
        <v>3295000000</v>
      </c>
      <c r="E8" s="51">
        <f t="shared" ref="E8:H8" si="0">SUM(E6:E7)</f>
        <v>1000000000</v>
      </c>
      <c r="F8" s="51">
        <f t="shared" si="0"/>
        <v>-1250000000</v>
      </c>
      <c r="G8" s="51">
        <f t="shared" si="0"/>
        <v>0</v>
      </c>
      <c r="H8" s="52">
        <f t="shared" si="0"/>
        <v>3045000000</v>
      </c>
    </row>
    <row r="9" spans="1:10" s="41" customFormat="1" ht="39.9" customHeight="1" x14ac:dyDescent="0.4">
      <c r="A9" s="37"/>
      <c r="B9" s="83" t="s">
        <v>20</v>
      </c>
      <c r="C9" s="48" t="s">
        <v>5</v>
      </c>
      <c r="D9" s="49">
        <f>-VLOOKUP(C9,[8]Summary!$A$5:$B$45,2,0)</f>
        <v>81739666000</v>
      </c>
      <c r="E9" s="49">
        <f>-VLOOKUP(C9,[8]Summary!$A$5:$E$45,5,0)</f>
        <v>0</v>
      </c>
      <c r="F9" s="49">
        <f>-VLOOKUP(C9,[8]Summary!$A$5:$J$45,10,0)-1000000000</f>
        <v>-1000000000</v>
      </c>
      <c r="G9" s="49">
        <v>0</v>
      </c>
      <c r="H9" s="50">
        <f>-VLOOKUP(C9,[8]Summary!$A$5:$L$45,12,0)</f>
        <v>80739666000</v>
      </c>
    </row>
    <row r="10" spans="1:10" s="54" customFormat="1" ht="39.9" customHeight="1" x14ac:dyDescent="0.4">
      <c r="A10" s="53"/>
      <c r="B10" s="87"/>
      <c r="C10" s="48" t="s">
        <v>6</v>
      </c>
      <c r="D10" s="49">
        <f>-VLOOKUP(C10,[8]Summary!$A$5:$B$45,2,0)+542500000</f>
        <v>37153790000</v>
      </c>
      <c r="E10" s="49">
        <f>-VLOOKUP(C10,[8]Summary!$A$5:$E$45,5,0)</f>
        <v>1000000000</v>
      </c>
      <c r="F10" s="49">
        <f>-VLOOKUP(C10,[8]Summary!$A$5:$J$45,10,0)</f>
        <v>0</v>
      </c>
      <c r="G10" s="49">
        <v>-542500000</v>
      </c>
      <c r="H10" s="50">
        <f>-VLOOKUP(C10,[8]Summary!$A$5:$L$45,12,0)</f>
        <v>37611290000</v>
      </c>
    </row>
    <row r="11" spans="1:10" s="41" customFormat="1" ht="39.9" customHeight="1" x14ac:dyDescent="0.4">
      <c r="A11" s="37"/>
      <c r="B11" s="87"/>
      <c r="C11" s="48" t="s">
        <v>7</v>
      </c>
      <c r="D11" s="49">
        <v>0</v>
      </c>
      <c r="E11" s="49">
        <v>0</v>
      </c>
      <c r="F11" s="49">
        <v>0</v>
      </c>
      <c r="G11" s="49">
        <v>0</v>
      </c>
      <c r="H11" s="50">
        <v>0</v>
      </c>
    </row>
    <row r="12" spans="1:10" s="41" customFormat="1" ht="39.9" customHeight="1" x14ac:dyDescent="0.4">
      <c r="A12" s="37"/>
      <c r="B12" s="87"/>
      <c r="C12" s="48" t="s">
        <v>8</v>
      </c>
      <c r="D12" s="49">
        <v>0</v>
      </c>
      <c r="E12" s="49">
        <v>0</v>
      </c>
      <c r="F12" s="49">
        <v>0</v>
      </c>
      <c r="G12" s="49">
        <v>0</v>
      </c>
      <c r="H12" s="50">
        <v>0</v>
      </c>
    </row>
    <row r="13" spans="1:10" s="41" customFormat="1" ht="39.9" customHeight="1" x14ac:dyDescent="0.4">
      <c r="A13" s="37"/>
      <c r="B13" s="87"/>
      <c r="C13" s="48" t="s">
        <v>9</v>
      </c>
      <c r="D13" s="49">
        <f>-VLOOKUP(C13,[8]Summary!$A$5:$B$45,2,0)+-[8]Summary!B38</f>
        <v>7165968769.0500002</v>
      </c>
      <c r="E13" s="49">
        <f>-VLOOKUP(C13,[8]Summary!$A$5:$E$45,5,0)</f>
        <v>0</v>
      </c>
      <c r="F13" s="49">
        <f>-VLOOKUP(C13,[8]Summary!$A$5:$J$45,10,0)+-[8]Summary!J38</f>
        <v>-124467502.5</v>
      </c>
      <c r="G13" s="49">
        <v>0</v>
      </c>
      <c r="H13" s="50">
        <f>-VLOOKUP(C13,[8]Summary!$A$5:$L$45,12,0)+-[8]Summary!L38</f>
        <v>7041501266.5500002</v>
      </c>
    </row>
    <row r="14" spans="1:10" s="41" customFormat="1" ht="39.9" customHeight="1" x14ac:dyDescent="0.4">
      <c r="A14" s="37"/>
      <c r="B14" s="87"/>
      <c r="C14" s="48" t="s">
        <v>10</v>
      </c>
      <c r="D14" s="49">
        <f>-VLOOKUP(C14,[8]Summary!$A$5:$B$45,2,0)</f>
        <v>301851753.66000003</v>
      </c>
      <c r="E14" s="49">
        <f>-VLOOKUP(C14,[8]Summary!$A$5:$E$45,5,0)</f>
        <v>0</v>
      </c>
      <c r="F14" s="49">
        <f>-VLOOKUP(C14,[8]Summary!$A$5:$J$45,10,0)</f>
        <v>0</v>
      </c>
      <c r="G14" s="49">
        <f>-VLOOKUP(C14,[8]Summary!$A$5:$K$45,11,0)</f>
        <v>-13615693.859999999</v>
      </c>
      <c r="H14" s="50">
        <f>-VLOOKUP(C14,[8]Summary!$A$5:$L$45,12,0)</f>
        <v>288236059.80000001</v>
      </c>
    </row>
    <row r="15" spans="1:10" s="41" customFormat="1" ht="39.9" customHeight="1" x14ac:dyDescent="0.4">
      <c r="A15" s="37"/>
      <c r="B15" s="87"/>
      <c r="C15" s="48" t="s">
        <v>11</v>
      </c>
      <c r="D15" s="49">
        <f>-VLOOKUP(C15,[8]Summary!$A$5:$B$45,2,0)-542500000</f>
        <v>7631954326</v>
      </c>
      <c r="E15" s="49">
        <f>-VLOOKUP(C15,[8]Summary!$A$5:$E$45,5,0)</f>
        <v>0</v>
      </c>
      <c r="F15" s="49">
        <f>-VLOOKUP(C15,[8]Summary!$A$5:$J$45,10,0)</f>
        <v>-50000000</v>
      </c>
      <c r="G15" s="49">
        <v>542500000</v>
      </c>
      <c r="H15" s="50">
        <f>-VLOOKUP(C15,[8]Summary!$A$5:$L$45,12,0)</f>
        <v>8124454326</v>
      </c>
    </row>
    <row r="16" spans="1:10" s="41" customFormat="1" ht="39.9" customHeight="1" x14ac:dyDescent="0.4">
      <c r="A16" s="37"/>
      <c r="B16" s="87"/>
      <c r="C16" s="48" t="s">
        <v>12</v>
      </c>
      <c r="D16" s="49">
        <f>-VLOOKUP(C16,[8]Summary!$A$5:$B$45,2,0)</f>
        <v>250000000</v>
      </c>
      <c r="E16" s="49">
        <f>-VLOOKUP(C16,[8]Summary!$A$5:$E$45,5,0)</f>
        <v>0</v>
      </c>
      <c r="F16" s="49">
        <f>-VLOOKUP(C16,[8]Summary!$A$5:$J$45,10,0)</f>
        <v>0</v>
      </c>
      <c r="G16" s="49">
        <v>0</v>
      </c>
      <c r="H16" s="50">
        <f>-VLOOKUP(C16,[8]Summary!$A$5:$L$45,12,0)</f>
        <v>250000000</v>
      </c>
      <c r="J16" s="55"/>
    </row>
    <row r="17" spans="1:8" s="41" customFormat="1" ht="45" customHeight="1" x14ac:dyDescent="0.4">
      <c r="A17" s="37"/>
      <c r="B17" s="88" t="s">
        <v>13</v>
      </c>
      <c r="C17" s="89"/>
      <c r="D17" s="56">
        <f>SUM(D9:D16)</f>
        <v>134243230848.71001</v>
      </c>
      <c r="E17" s="56">
        <f t="shared" ref="E17:H17" si="1">SUM(E9:E16)</f>
        <v>1000000000</v>
      </c>
      <c r="F17" s="56">
        <f t="shared" si="1"/>
        <v>-1174467502.5</v>
      </c>
      <c r="G17" s="56">
        <f t="shared" si="1"/>
        <v>-13615693.860000014</v>
      </c>
      <c r="H17" s="57">
        <f t="shared" si="1"/>
        <v>134055147652.35001</v>
      </c>
    </row>
    <row r="18" spans="1:8" s="41" customFormat="1" ht="45" customHeight="1" thickBot="1" x14ac:dyDescent="0.45">
      <c r="A18" s="37"/>
      <c r="B18" s="90" t="s">
        <v>21</v>
      </c>
      <c r="C18" s="91"/>
      <c r="D18" s="58">
        <f>D17+D8</f>
        <v>137538230848.71002</v>
      </c>
      <c r="E18" s="58">
        <f t="shared" ref="E18:H18" si="2">E17+E8</f>
        <v>2000000000</v>
      </c>
      <c r="F18" s="58">
        <f t="shared" si="2"/>
        <v>-2424467502.5</v>
      </c>
      <c r="G18" s="58">
        <f t="shared" si="2"/>
        <v>-13615693.860000014</v>
      </c>
      <c r="H18" s="59">
        <f t="shared" si="2"/>
        <v>137100147652.35001</v>
      </c>
    </row>
    <row r="20" spans="1:8" s="18" customFormat="1" ht="16" x14ac:dyDescent="0.4">
      <c r="A20" s="1"/>
      <c r="B20" s="15" t="s">
        <v>22</v>
      </c>
      <c r="C20" s="16"/>
      <c r="D20" s="17"/>
      <c r="E20" s="17"/>
      <c r="F20" s="17"/>
      <c r="G20" s="17"/>
      <c r="H20" s="17"/>
    </row>
    <row r="21" spans="1:8" s="18" customFormat="1" x14ac:dyDescent="0.3">
      <c r="A21" s="1"/>
      <c r="B21" s="19" t="s">
        <v>23</v>
      </c>
      <c r="C21" s="16"/>
      <c r="D21" s="20"/>
      <c r="E21" s="20"/>
      <c r="F21" s="20"/>
      <c r="G21" s="20"/>
      <c r="H21" s="20"/>
    </row>
    <row r="22" spans="1:8" s="18" customFormat="1" x14ac:dyDescent="0.3">
      <c r="A22" s="1"/>
      <c r="B22" s="21" t="s">
        <v>24</v>
      </c>
      <c r="C22" s="16"/>
      <c r="D22" s="20"/>
      <c r="E22" s="20"/>
      <c r="F22" s="20"/>
      <c r="G22" s="20"/>
      <c r="H22" s="20"/>
    </row>
    <row r="23" spans="1:8" s="18" customFormat="1" ht="28.5" customHeight="1" x14ac:dyDescent="0.3">
      <c r="A23" s="1"/>
      <c r="B23" s="70" t="s">
        <v>26</v>
      </c>
      <c r="C23" s="70"/>
      <c r="D23" s="70"/>
      <c r="E23" s="70"/>
      <c r="F23" s="70"/>
      <c r="G23" s="70"/>
      <c r="H23" s="70"/>
    </row>
    <row r="24" spans="1:8" s="18" customFormat="1" x14ac:dyDescent="0.3">
      <c r="A24" s="1"/>
      <c r="B24" s="64"/>
      <c r="C24" s="64"/>
      <c r="D24" s="64"/>
      <c r="E24" s="64"/>
      <c r="F24" s="64"/>
      <c r="G24" s="64"/>
      <c r="H24" s="64"/>
    </row>
    <row r="25" spans="1:8" s="18" customFormat="1" x14ac:dyDescent="0.3">
      <c r="A25" s="1"/>
      <c r="B25" s="22" t="s">
        <v>27</v>
      </c>
      <c r="C25" s="16"/>
      <c r="D25" s="17"/>
      <c r="E25" s="17"/>
      <c r="F25" s="17"/>
      <c r="G25" s="17"/>
      <c r="H25" s="17"/>
    </row>
    <row r="26" spans="1:8" s="18" customFormat="1" ht="87" customHeight="1" x14ac:dyDescent="0.3">
      <c r="A26" s="1"/>
      <c r="B26" s="71" t="s">
        <v>25</v>
      </c>
      <c r="C26" s="71"/>
      <c r="D26" s="71"/>
      <c r="E26" s="71"/>
      <c r="F26" s="71"/>
      <c r="G26" s="71"/>
      <c r="H26" s="71"/>
    </row>
  </sheetData>
  <mergeCells count="8">
    <mergeCell ref="B23:H23"/>
    <mergeCell ref="B26:H26"/>
    <mergeCell ref="B4:H4"/>
    <mergeCell ref="B6:B7"/>
    <mergeCell ref="B8:C8"/>
    <mergeCell ref="B9:B16"/>
    <mergeCell ref="B17:C17"/>
    <mergeCell ref="B18:C18"/>
  </mergeCells>
  <pageMargins left="0.7" right="0.7" top="0.75" bottom="0.75" header="0.3" footer="0.3"/>
  <pageSetup paperSize="4" scale="65" orientation="landscape" r:id="rId1"/>
  <headerFooter alignWithMargins="0">
    <oddFooter>&amp;L&amp;"Calibri"&amp;11&amp;K000000_x000D_&amp;1#&amp;"Calibri"&amp;10&amp;K000000Fannie Mae Confidential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DFE06-F9FA-42BC-A633-A34C0889A35A}">
  <dimension ref="A1:J26"/>
  <sheetViews>
    <sheetView zoomScale="75" zoomScaleNormal="75" workbookViewId="0">
      <selection activeCell="B4" sqref="B4:H4"/>
    </sheetView>
  </sheetViews>
  <sheetFormatPr defaultRowHeight="13" x14ac:dyDescent="0.3"/>
  <cols>
    <col min="1" max="1" width="2" style="42" customWidth="1"/>
    <col min="2" max="2" width="25.6328125" style="62" customWidth="1"/>
    <col min="3" max="3" width="25.6328125" style="60" customWidth="1"/>
    <col min="4" max="8" width="25.6328125" style="61" customWidth="1"/>
    <col min="10" max="10" width="17.36328125" bestFit="1" customWidth="1"/>
  </cols>
  <sheetData>
    <row r="1" spans="1:10" s="41" customFormat="1" ht="6.9" customHeight="1" x14ac:dyDescent="0.3">
      <c r="A1" s="37"/>
      <c r="B1" s="38"/>
      <c r="C1" s="39"/>
      <c r="D1" s="40"/>
      <c r="E1" s="40"/>
      <c r="F1" s="40"/>
      <c r="G1" s="40"/>
      <c r="H1" s="40"/>
    </row>
    <row r="2" spans="1:10" s="41" customFormat="1" ht="21.5" customHeight="1" x14ac:dyDescent="0.3">
      <c r="A2" s="37"/>
      <c r="B2" s="42"/>
      <c r="C2" s="39"/>
      <c r="D2" s="40"/>
      <c r="E2" s="40"/>
      <c r="F2" s="40"/>
      <c r="G2" s="40"/>
      <c r="H2" s="40"/>
    </row>
    <row r="3" spans="1:10" s="41" customFormat="1" ht="18.149999999999999" customHeight="1" x14ac:dyDescent="0.3">
      <c r="A3" s="37"/>
      <c r="B3" s="43"/>
      <c r="C3" s="39"/>
      <c r="D3" s="40"/>
      <c r="E3" s="40"/>
      <c r="F3" s="40"/>
      <c r="G3" s="40"/>
      <c r="H3" s="40"/>
    </row>
    <row r="4" spans="1:10" s="41" customFormat="1" ht="20.9" customHeight="1" thickBot="1" x14ac:dyDescent="0.6">
      <c r="A4" s="37"/>
      <c r="B4" s="82" t="s">
        <v>38</v>
      </c>
      <c r="C4" s="82"/>
      <c r="D4" s="82"/>
      <c r="E4" s="82"/>
      <c r="F4" s="82"/>
      <c r="G4" s="82"/>
      <c r="H4" s="82"/>
    </row>
    <row r="5" spans="1:10" s="41" customFormat="1" ht="57.75" customHeight="1" x14ac:dyDescent="0.3">
      <c r="A5" s="37"/>
      <c r="B5" s="44" t="s">
        <v>0</v>
      </c>
      <c r="C5" s="45" t="s">
        <v>1</v>
      </c>
      <c r="D5" s="46" t="s">
        <v>14</v>
      </c>
      <c r="E5" s="46" t="s">
        <v>15</v>
      </c>
      <c r="F5" s="46" t="s">
        <v>16</v>
      </c>
      <c r="G5" s="46" t="s">
        <v>17</v>
      </c>
      <c r="H5" s="47" t="s">
        <v>18</v>
      </c>
    </row>
    <row r="6" spans="1:10" s="41" customFormat="1" ht="39.9" customHeight="1" x14ac:dyDescent="0.4">
      <c r="A6" s="37"/>
      <c r="B6" s="83" t="s">
        <v>19</v>
      </c>
      <c r="C6" s="48" t="s">
        <v>2</v>
      </c>
      <c r="D6" s="49">
        <f>-VLOOKUP(C6,[9]Summary!$A$5:$B$45,2,0)</f>
        <v>3045000000</v>
      </c>
      <c r="E6" s="49">
        <f>-VLOOKUP(C6,[9]Summary!$A$5:$E$45,5,0)</f>
        <v>11700000000</v>
      </c>
      <c r="F6" s="49">
        <f>-VLOOKUP(C6,[9]Summary!$A$5:$J$45,10,0)</f>
        <v>-11750000000</v>
      </c>
      <c r="G6" s="49">
        <v>0</v>
      </c>
      <c r="H6" s="50">
        <f>-VLOOKUP(C6,[9]Summary!$A$5:$L$45,12,0)</f>
        <v>2995000000</v>
      </c>
    </row>
    <row r="7" spans="1:10" s="41" customFormat="1" ht="39.9" customHeight="1" x14ac:dyDescent="0.4">
      <c r="A7" s="37"/>
      <c r="B7" s="84"/>
      <c r="C7" s="48" t="s">
        <v>3</v>
      </c>
      <c r="D7" s="49">
        <v>0</v>
      </c>
      <c r="E7" s="49">
        <v>0</v>
      </c>
      <c r="F7" s="49">
        <v>0</v>
      </c>
      <c r="G7" s="49">
        <v>0</v>
      </c>
      <c r="H7" s="50">
        <v>0</v>
      </c>
    </row>
    <row r="8" spans="1:10" s="41" customFormat="1" ht="39.9" customHeight="1" x14ac:dyDescent="0.4">
      <c r="A8" s="37"/>
      <c r="B8" s="85" t="s">
        <v>4</v>
      </c>
      <c r="C8" s="86"/>
      <c r="D8" s="51">
        <f>SUM(D6:D7)</f>
        <v>3045000000</v>
      </c>
      <c r="E8" s="51">
        <f t="shared" ref="E8:H8" si="0">SUM(E6:E7)</f>
        <v>11700000000</v>
      </c>
      <c r="F8" s="51">
        <f t="shared" si="0"/>
        <v>-11750000000</v>
      </c>
      <c r="G8" s="51">
        <f t="shared" si="0"/>
        <v>0</v>
      </c>
      <c r="H8" s="52">
        <f t="shared" si="0"/>
        <v>2995000000</v>
      </c>
    </row>
    <row r="9" spans="1:10" s="41" customFormat="1" ht="39.9" customHeight="1" x14ac:dyDescent="0.4">
      <c r="A9" s="37"/>
      <c r="B9" s="83" t="s">
        <v>20</v>
      </c>
      <c r="C9" s="48" t="s">
        <v>5</v>
      </c>
      <c r="D9" s="49">
        <f>-VLOOKUP(C9,[9]Summary!$A$5:$B$45,2,0)</f>
        <v>80739666000</v>
      </c>
      <c r="E9" s="49">
        <f>-VLOOKUP(C9,[9]Summary!$A$5:$E$45,5,0)</f>
        <v>0</v>
      </c>
      <c r="F9" s="49">
        <f>-VLOOKUP(C9,[9]Summary!$A$5:$J$45,10,0)</f>
        <v>-2000000000</v>
      </c>
      <c r="G9" s="49">
        <v>0</v>
      </c>
      <c r="H9" s="50">
        <f>-VLOOKUP(C9,[9]Summary!$A$5:$L$45,12,0)</f>
        <v>78739666000</v>
      </c>
    </row>
    <row r="10" spans="1:10" s="54" customFormat="1" ht="39.9" customHeight="1" x14ac:dyDescent="0.4">
      <c r="A10" s="53"/>
      <c r="B10" s="87"/>
      <c r="C10" s="48" t="s">
        <v>6</v>
      </c>
      <c r="D10" s="49">
        <f>-VLOOKUP(C10,[9]Summary!$A$5:$B$45,2,0)+15000000</f>
        <v>37611290000</v>
      </c>
      <c r="E10" s="49">
        <f>-VLOOKUP(C10,[9]Summary!$A$5:$E$45,5,0)</f>
        <v>0</v>
      </c>
      <c r="F10" s="49">
        <f>-VLOOKUP(C10,[9]Summary!$A$5:$J$45,10,0)</f>
        <v>0</v>
      </c>
      <c r="G10" s="49">
        <v>-15000000</v>
      </c>
      <c r="H10" s="50">
        <f>-VLOOKUP(C10,[9]Summary!$A$5:$L$45,12,0)</f>
        <v>37596290000</v>
      </c>
    </row>
    <row r="11" spans="1:10" s="41" customFormat="1" ht="39.9" customHeight="1" x14ac:dyDescent="0.4">
      <c r="A11" s="37"/>
      <c r="B11" s="87"/>
      <c r="C11" s="48" t="s">
        <v>7</v>
      </c>
      <c r="D11" s="49">
        <v>0</v>
      </c>
      <c r="E11" s="49">
        <v>0</v>
      </c>
      <c r="F11" s="49">
        <v>0</v>
      </c>
      <c r="G11" s="49">
        <v>0</v>
      </c>
      <c r="H11" s="50">
        <v>0</v>
      </c>
    </row>
    <row r="12" spans="1:10" s="41" customFormat="1" ht="39.9" customHeight="1" x14ac:dyDescent="0.4">
      <c r="A12" s="37"/>
      <c r="B12" s="87"/>
      <c r="C12" s="48" t="s">
        <v>8</v>
      </c>
      <c r="D12" s="49">
        <v>0</v>
      </c>
      <c r="E12" s="49">
        <v>0</v>
      </c>
      <c r="F12" s="49">
        <v>0</v>
      </c>
      <c r="G12" s="49">
        <v>0</v>
      </c>
      <c r="H12" s="50">
        <v>0</v>
      </c>
    </row>
    <row r="13" spans="1:10" s="41" customFormat="1" ht="39.9" customHeight="1" x14ac:dyDescent="0.4">
      <c r="A13" s="37"/>
      <c r="B13" s="87"/>
      <c r="C13" s="48" t="s">
        <v>9</v>
      </c>
      <c r="D13" s="49">
        <f>-VLOOKUP(C13,[9]Summary!$A$5:$B$45,2,0)+-[9]Summary!B38</f>
        <v>7041501266.5500002</v>
      </c>
      <c r="E13" s="49">
        <f>-VLOOKUP(C13,[9]Summary!$A$5:$E$45,5,0)</f>
        <v>0</v>
      </c>
      <c r="F13" s="49">
        <f>-VLOOKUP(C13,[9]Summary!$A$5:$J$45,10,0)+-[9]Summary!J38</f>
        <v>-94810505.810000002</v>
      </c>
      <c r="G13" s="49">
        <v>0</v>
      </c>
      <c r="H13" s="50">
        <f>-VLOOKUP(C13,[9]Summary!$A$5:$L$45,12,0)+-[9]Summary!L38</f>
        <v>6946690760.7399998</v>
      </c>
      <c r="J13" s="67"/>
    </row>
    <row r="14" spans="1:10" s="41" customFormat="1" ht="39.9" customHeight="1" x14ac:dyDescent="0.4">
      <c r="A14" s="37"/>
      <c r="B14" s="87"/>
      <c r="C14" s="48" t="s">
        <v>10</v>
      </c>
      <c r="D14" s="49">
        <f>-VLOOKUP(C14,[9]Summary!$A$5:$B$45,2,0)</f>
        <v>288236059.80000001</v>
      </c>
      <c r="E14" s="49">
        <f>-VLOOKUP(C14,[9]Summary!$A$5:$E$45,5,0)</f>
        <v>0</v>
      </c>
      <c r="F14" s="49">
        <f>-VLOOKUP(C14,[9]Summary!$A$5:$J$45,10,0)</f>
        <v>0</v>
      </c>
      <c r="G14" s="49">
        <f>-VLOOKUP(C14,[9]Summary!$A$5:$K$45,11,0)</f>
        <v>-11210006.800000001</v>
      </c>
      <c r="H14" s="50">
        <f>-VLOOKUP(C14,[9]Summary!$A$5:$L$45,12,0)</f>
        <v>277026053</v>
      </c>
    </row>
    <row r="15" spans="1:10" s="41" customFormat="1" ht="39.9" customHeight="1" x14ac:dyDescent="0.4">
      <c r="A15" s="37"/>
      <c r="B15" s="87"/>
      <c r="C15" s="48" t="s">
        <v>11</v>
      </c>
      <c r="D15" s="49">
        <f>-VLOOKUP(C15,[9]Summary!$A$5:$B$45,2,0)-15000000</f>
        <v>8124454326</v>
      </c>
      <c r="E15" s="49">
        <f>-VLOOKUP(C15,[9]Summary!$A$5:$E$45,5,0)</f>
        <v>0</v>
      </c>
      <c r="F15" s="49">
        <f>-VLOOKUP(C15,[9]Summary!$A$5:$J$45,10,0)</f>
        <v>-30000000</v>
      </c>
      <c r="G15" s="49">
        <v>15000000</v>
      </c>
      <c r="H15" s="50">
        <f>-VLOOKUP(C15,[9]Summary!$A$5:$L$45,12,0)</f>
        <v>8109454326</v>
      </c>
    </row>
    <row r="16" spans="1:10" s="41" customFormat="1" ht="39.9" customHeight="1" x14ac:dyDescent="0.4">
      <c r="A16" s="37"/>
      <c r="B16" s="87"/>
      <c r="C16" s="48" t="s">
        <v>12</v>
      </c>
      <c r="D16" s="49">
        <f>-VLOOKUP(C16,[9]Summary!$A$5:$B$45,2,0)</f>
        <v>250000000</v>
      </c>
      <c r="E16" s="49">
        <f>-VLOOKUP(C16,[9]Summary!$A$5:$E$45,5,0)</f>
        <v>0</v>
      </c>
      <c r="F16" s="49">
        <f>-VLOOKUP(C16,[9]Summary!$A$5:$J$45,10,0)</f>
        <v>0</v>
      </c>
      <c r="G16" s="49">
        <v>0</v>
      </c>
      <c r="H16" s="50">
        <f>-VLOOKUP(C16,[9]Summary!$A$5:$L$45,12,0)</f>
        <v>250000000</v>
      </c>
      <c r="J16" s="55"/>
    </row>
    <row r="17" spans="1:8" s="41" customFormat="1" ht="45" customHeight="1" x14ac:dyDescent="0.4">
      <c r="A17" s="37"/>
      <c r="B17" s="88" t="s">
        <v>13</v>
      </c>
      <c r="C17" s="89"/>
      <c r="D17" s="56">
        <f>SUM(D9:D16)</f>
        <v>134055147652.35001</v>
      </c>
      <c r="E17" s="56">
        <f t="shared" ref="E17:H17" si="1">SUM(E9:E16)</f>
        <v>0</v>
      </c>
      <c r="F17" s="56">
        <f t="shared" si="1"/>
        <v>-2124810505.8099999</v>
      </c>
      <c r="G17" s="56">
        <f t="shared" si="1"/>
        <v>-11210006.800000001</v>
      </c>
      <c r="H17" s="57">
        <f t="shared" si="1"/>
        <v>131919127139.74001</v>
      </c>
    </row>
    <row r="18" spans="1:8" s="41" customFormat="1" ht="45" customHeight="1" thickBot="1" x14ac:dyDescent="0.45">
      <c r="A18" s="37"/>
      <c r="B18" s="90" t="s">
        <v>21</v>
      </c>
      <c r="C18" s="91"/>
      <c r="D18" s="58">
        <f>D17+D8</f>
        <v>137100147652.35001</v>
      </c>
      <c r="E18" s="58">
        <f t="shared" ref="E18:H18" si="2">E17+E8</f>
        <v>11700000000</v>
      </c>
      <c r="F18" s="58">
        <f t="shared" si="2"/>
        <v>-13874810505.809999</v>
      </c>
      <c r="G18" s="58">
        <f t="shared" si="2"/>
        <v>-11210006.800000001</v>
      </c>
      <c r="H18" s="59">
        <f t="shared" si="2"/>
        <v>134914127139.74001</v>
      </c>
    </row>
    <row r="20" spans="1:8" s="18" customFormat="1" ht="16" x14ac:dyDescent="0.4">
      <c r="A20" s="1"/>
      <c r="B20" s="15" t="s">
        <v>22</v>
      </c>
      <c r="C20" s="16"/>
      <c r="D20" s="17"/>
      <c r="E20" s="17"/>
      <c r="F20" s="17"/>
      <c r="G20" s="17"/>
      <c r="H20" s="17"/>
    </row>
    <row r="21" spans="1:8" s="18" customFormat="1" x14ac:dyDescent="0.3">
      <c r="A21" s="1"/>
      <c r="B21" s="19" t="s">
        <v>23</v>
      </c>
      <c r="C21" s="16"/>
      <c r="D21" s="20"/>
      <c r="E21" s="20"/>
      <c r="F21" s="20"/>
      <c r="G21" s="20"/>
      <c r="H21" s="20"/>
    </row>
    <row r="22" spans="1:8" s="18" customFormat="1" x14ac:dyDescent="0.3">
      <c r="A22" s="1"/>
      <c r="B22" s="21" t="s">
        <v>24</v>
      </c>
      <c r="C22" s="16"/>
      <c r="D22" s="20"/>
      <c r="E22" s="20"/>
      <c r="F22" s="20"/>
      <c r="G22" s="20"/>
      <c r="H22" s="20"/>
    </row>
    <row r="23" spans="1:8" s="18" customFormat="1" ht="28.5" customHeight="1" x14ac:dyDescent="0.3">
      <c r="A23" s="1"/>
      <c r="B23" s="70" t="s">
        <v>26</v>
      </c>
      <c r="C23" s="70"/>
      <c r="D23" s="70"/>
      <c r="E23" s="70"/>
      <c r="F23" s="70"/>
      <c r="G23" s="70"/>
      <c r="H23" s="70"/>
    </row>
    <row r="24" spans="1:8" s="18" customFormat="1" x14ac:dyDescent="0.3">
      <c r="A24" s="1"/>
      <c r="B24" s="65"/>
      <c r="C24" s="65"/>
      <c r="D24" s="65"/>
      <c r="E24" s="65"/>
      <c r="F24" s="65"/>
      <c r="G24" s="65"/>
      <c r="H24" s="65"/>
    </row>
    <row r="25" spans="1:8" s="18" customFormat="1" x14ac:dyDescent="0.3">
      <c r="A25" s="1"/>
      <c r="B25" s="22" t="s">
        <v>27</v>
      </c>
      <c r="C25" s="16"/>
      <c r="D25" s="17"/>
      <c r="E25" s="17"/>
      <c r="F25" s="17"/>
      <c r="G25" s="17"/>
      <c r="H25" s="17"/>
    </row>
    <row r="26" spans="1:8" s="18" customFormat="1" ht="87" customHeight="1" x14ac:dyDescent="0.3">
      <c r="A26" s="1"/>
      <c r="B26" s="71" t="s">
        <v>25</v>
      </c>
      <c r="C26" s="71"/>
      <c r="D26" s="71"/>
      <c r="E26" s="71"/>
      <c r="F26" s="71"/>
      <c r="G26" s="71"/>
      <c r="H26" s="71"/>
    </row>
  </sheetData>
  <mergeCells count="8">
    <mergeCell ref="B23:H23"/>
    <mergeCell ref="B26:H26"/>
    <mergeCell ref="B4:H4"/>
    <mergeCell ref="B6:B7"/>
    <mergeCell ref="B8:C8"/>
    <mergeCell ref="B9:B16"/>
    <mergeCell ref="B17:C17"/>
    <mergeCell ref="B18:C18"/>
  </mergeCells>
  <pageMargins left="0.7" right="0.7" top="0.75" bottom="0.75" header="0.3" footer="0.3"/>
  <pageSetup paperSize="4" scale="65" orientation="landscape" r:id="rId1"/>
  <headerFooter alignWithMargins="0">
    <oddFooter>&amp;L&amp;"Calibri"&amp;11&amp;K000000_x000D_&amp;1#&amp;"Calibri"&amp;10&amp;K000000Fannie Mae Confidential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JAN 2022</vt:lpstr>
      <vt:lpstr>FEB 2022</vt:lpstr>
      <vt:lpstr>MAR 2022</vt:lpstr>
      <vt:lpstr>APR 2022</vt:lpstr>
      <vt:lpstr>MAY 2022</vt:lpstr>
      <vt:lpstr>JUN 2022</vt:lpstr>
      <vt:lpstr>JUL 2002</vt:lpstr>
      <vt:lpstr>AUG 2022</vt:lpstr>
      <vt:lpstr>SEP 2022</vt:lpstr>
      <vt:lpstr>OCT 2022</vt:lpstr>
      <vt:lpstr>NOV 2022</vt:lpstr>
      <vt:lpstr>DEC 2022</vt:lpstr>
      <vt:lpstr>'APR 2022'!Print_Area</vt:lpstr>
      <vt:lpstr>'AUG 2022'!Print_Area</vt:lpstr>
      <vt:lpstr>'DEC 2022'!Print_Area</vt:lpstr>
      <vt:lpstr>'FEB 2022'!Print_Area</vt:lpstr>
      <vt:lpstr>'JAN 2022'!Print_Area</vt:lpstr>
      <vt:lpstr>'JUL 2002'!Print_Area</vt:lpstr>
      <vt:lpstr>'JUN 2022'!Print_Area</vt:lpstr>
      <vt:lpstr>'MAR 2022'!Print_Area</vt:lpstr>
      <vt:lpstr>'MAY 2022'!Print_Area</vt:lpstr>
      <vt:lpstr>'NOV 2022'!Print_Area</vt:lpstr>
      <vt:lpstr>'OCT 2022'!Print_Area</vt:lpstr>
      <vt:lpstr>'SEP 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Brown, Jean</cp:lastModifiedBy>
  <dcterms:created xsi:type="dcterms:W3CDTF">2021-04-08T18:45:44Z</dcterms:created>
  <dcterms:modified xsi:type="dcterms:W3CDTF">2023-02-16T20:06:14Z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455cd2-ef3f-47ad-8dee-f10882ec60d9_Enabled">
    <vt:lpwstr>true</vt:lpwstr>
  </property>
  <property fmtid="{D5CDD505-2E9C-101B-9397-08002B2CF9AE}" pid="3" name="MSIP_Label_a9455cd2-ef3f-47ad-8dee-f10882ec60d9_SetDate">
    <vt:lpwstr>2023-02-16T20:06:00Z</vt:lpwstr>
  </property>
  <property fmtid="{D5CDD505-2E9C-101B-9397-08002B2CF9AE}" pid="4" name="MSIP_Label_a9455cd2-ef3f-47ad-8dee-f10882ec60d9_Method">
    <vt:lpwstr>Standard</vt:lpwstr>
  </property>
  <property fmtid="{D5CDD505-2E9C-101B-9397-08002B2CF9AE}" pid="5" name="MSIP_Label_a9455cd2-ef3f-47ad-8dee-f10882ec60d9_Name">
    <vt:lpwstr>Confidential - Internal Distribution</vt:lpwstr>
  </property>
  <property fmtid="{D5CDD505-2E9C-101B-9397-08002B2CF9AE}" pid="6" name="MSIP_Label_a9455cd2-ef3f-47ad-8dee-f10882ec60d9_SiteId">
    <vt:lpwstr>e6baca02-d986-4077-8053-30de7d5e0d58</vt:lpwstr>
  </property>
  <property fmtid="{D5CDD505-2E9C-101B-9397-08002B2CF9AE}" pid="7" name="MSIP_Label_a9455cd2-ef3f-47ad-8dee-f10882ec60d9_ActionId">
    <vt:lpwstr>6718f16d-4d3b-4cfc-8742-c5eaee2c8d31</vt:lpwstr>
  </property>
  <property fmtid="{D5CDD505-2E9C-101B-9397-08002B2CF9AE}" pid="8" name="MSIP_Label_a9455cd2-ef3f-47ad-8dee-f10882ec60d9_ContentBits">
    <vt:lpwstr>2</vt:lpwstr>
  </property>
</Properties>
</file>