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fnma-my.sharepoint.com/personal/s6uhym_fanniemae_com/Documents/"/>
    </mc:Choice>
  </mc:AlternateContent>
  <xr:revisionPtr revIDLastSave="47" documentId="13_ncr:1_{A29EFD4B-E185-45D4-A6C8-A9F408366E74}" xr6:coauthVersionLast="46" xr6:coauthVersionMax="46" xr10:uidLastSave="{85C66B09-624D-43D3-83F0-5AF635A981F9}"/>
  <bookViews>
    <workbookView xWindow="-120" yWindow="-120" windowWidth="29040" windowHeight="15840" firstSheet="1" activeTab="11" xr2:uid="{00000000-000D-0000-FFFF-FFFF00000000}"/>
  </bookViews>
  <sheets>
    <sheet name="JAN 2021" sheetId="5" r:id="rId1"/>
    <sheet name="FEB 2021" sheetId="6" r:id="rId2"/>
    <sheet name="MAR 2021" sheetId="7" r:id="rId3"/>
    <sheet name="APR 2021" sheetId="4" r:id="rId4"/>
    <sheet name="MAY 2021" sheetId="8" r:id="rId5"/>
    <sheet name="JUN 2021" sheetId="9" r:id="rId6"/>
    <sheet name="JUL 2021" sheetId="10" r:id="rId7"/>
    <sheet name="AUG 2021" sheetId="12" r:id="rId8"/>
    <sheet name="SEP 2021" sheetId="13" r:id="rId9"/>
    <sheet name="OCT 2021" sheetId="15" r:id="rId10"/>
    <sheet name="NOV 2021" sheetId="16" r:id="rId11"/>
    <sheet name="DEC 2021" sheetId="17"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3" hidden="1">'APR 2021'!$B$5:$H$18</definedName>
    <definedName name="_xlnm._FilterDatabase" localSheetId="7" hidden="1">'AUG 2021'!$B$5:$H$18</definedName>
    <definedName name="_xlnm._FilterDatabase" localSheetId="11" hidden="1">'DEC 2021'!$B$5:$H$18</definedName>
    <definedName name="_xlnm._FilterDatabase" localSheetId="6" hidden="1">'JUL 2021'!$B$5:$H$18</definedName>
    <definedName name="_xlnm._FilterDatabase" localSheetId="5" hidden="1">'JUN 2021'!$B$5:$H$18</definedName>
    <definedName name="_xlnm._FilterDatabase" localSheetId="2" hidden="1">'MAR 2021'!$B$5:$H$18</definedName>
    <definedName name="_xlnm._FilterDatabase" localSheetId="4" hidden="1">'MAY 2021'!$B$5:$H$18</definedName>
    <definedName name="_xlnm._FilterDatabase" localSheetId="10" hidden="1">'NOV 2021'!$B$5:$H$18</definedName>
    <definedName name="_xlnm._FilterDatabase" localSheetId="9" hidden="1">'OCT 2021'!$B$5:$H$18</definedName>
    <definedName name="_xlnm._FilterDatabase" localSheetId="8" hidden="1">'SEP 2021'!$B$5:$H$18</definedName>
    <definedName name="_xlnm.Print_Area" localSheetId="3">'APR 2021'!$A$1:$H$33</definedName>
    <definedName name="_xlnm.Print_Area" localSheetId="7">'AUG 2021'!$A$1:$H$33</definedName>
    <definedName name="_xlnm.Print_Area" localSheetId="11">'DEC 2021'!$A$1:$H$33</definedName>
    <definedName name="_xlnm.Print_Area" localSheetId="1">'FEB 2021'!$A$1:$H$27</definedName>
    <definedName name="_xlnm.Print_Area" localSheetId="0">'JAN 2021'!$A$1:$H$27</definedName>
    <definedName name="_xlnm.Print_Area" localSheetId="6">'JUL 2021'!$A$1:$H$33</definedName>
    <definedName name="_xlnm.Print_Area" localSheetId="5">'JUN 2021'!$A$1:$H$33</definedName>
    <definedName name="_xlnm.Print_Area" localSheetId="2">'MAR 2021'!$A$1:$H$33</definedName>
    <definedName name="_xlnm.Print_Area" localSheetId="4">'MAY 2021'!$A$1:$H$33</definedName>
    <definedName name="_xlnm.Print_Area" localSheetId="10">'NOV 2021'!$A$1:$H$33</definedName>
    <definedName name="_xlnm.Print_Area" localSheetId="9">'OCT 2021'!$A$1:$H$33</definedName>
    <definedName name="_xlnm.Print_Area" localSheetId="8">'SEP 2021'!$A$1:$H$34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17" l="1"/>
  <c r="F16" i="17"/>
  <c r="E16" i="17"/>
  <c r="D16" i="17"/>
  <c r="H15" i="17"/>
  <c r="G15" i="17"/>
  <c r="F15" i="17"/>
  <c r="E15" i="17"/>
  <c r="E17" i="17" s="1"/>
  <c r="D15" i="17"/>
  <c r="H14" i="17"/>
  <c r="G14" i="17"/>
  <c r="F14" i="17"/>
  <c r="E14" i="17"/>
  <c r="D14" i="17"/>
  <c r="H13" i="17"/>
  <c r="F13" i="17"/>
  <c r="F17" i="17" s="1"/>
  <c r="E13" i="17"/>
  <c r="D13" i="17"/>
  <c r="H11" i="17"/>
  <c r="F11" i="17"/>
  <c r="E11" i="17"/>
  <c r="D11" i="17"/>
  <c r="H10" i="17"/>
  <c r="G10" i="17"/>
  <c r="G17" i="17" s="1"/>
  <c r="G18" i="17" s="1"/>
  <c r="F10" i="17"/>
  <c r="E10" i="17"/>
  <c r="D10" i="17"/>
  <c r="H9" i="17"/>
  <c r="F9" i="17"/>
  <c r="E9" i="17"/>
  <c r="D9" i="17"/>
  <c r="D17" i="17" s="1"/>
  <c r="H8" i="17"/>
  <c r="G8" i="17"/>
  <c r="H7" i="17"/>
  <c r="F7" i="17"/>
  <c r="E7" i="17"/>
  <c r="D7" i="17"/>
  <c r="H6" i="17"/>
  <c r="F6" i="17"/>
  <c r="F8" i="17" s="1"/>
  <c r="E6" i="17"/>
  <c r="E8" i="17" s="1"/>
  <c r="D6" i="17"/>
  <c r="H16" i="16"/>
  <c r="F16" i="16"/>
  <c r="E16" i="16"/>
  <c r="D16" i="16"/>
  <c r="H15" i="16"/>
  <c r="G15" i="16"/>
  <c r="F15" i="16"/>
  <c r="E15" i="16"/>
  <c r="D15" i="16"/>
  <c r="H14" i="16"/>
  <c r="G14" i="16"/>
  <c r="F14" i="16"/>
  <c r="E14" i="16"/>
  <c r="D14" i="16"/>
  <c r="H13" i="16"/>
  <c r="F13" i="16"/>
  <c r="E13" i="16"/>
  <c r="D13" i="16"/>
  <c r="H11" i="16"/>
  <c r="F11" i="16"/>
  <c r="E11" i="16"/>
  <c r="D11" i="16"/>
  <c r="H10" i="16"/>
  <c r="G10" i="16"/>
  <c r="G17" i="16" s="1"/>
  <c r="G18" i="16" s="1"/>
  <c r="F10" i="16"/>
  <c r="E10" i="16"/>
  <c r="D10" i="16"/>
  <c r="H9" i="16"/>
  <c r="H17" i="16" s="1"/>
  <c r="H18" i="16" s="1"/>
  <c r="F9" i="16"/>
  <c r="F17" i="16" s="1"/>
  <c r="F18" i="16" s="1"/>
  <c r="E9" i="16"/>
  <c r="E17" i="16" s="1"/>
  <c r="E18" i="16" s="1"/>
  <c r="D9" i="16"/>
  <c r="D17" i="16" s="1"/>
  <c r="D18" i="16" s="1"/>
  <c r="H8" i="16"/>
  <c r="G8" i="16"/>
  <c r="F8" i="16"/>
  <c r="H7" i="16"/>
  <c r="F7" i="16"/>
  <c r="E7" i="16"/>
  <c r="D7" i="16"/>
  <c r="H6" i="16"/>
  <c r="F6" i="16"/>
  <c r="E6" i="16"/>
  <c r="E8" i="16" s="1"/>
  <c r="D6" i="16"/>
  <c r="D8" i="16" s="1"/>
  <c r="H16" i="15"/>
  <c r="F16" i="15"/>
  <c r="E16" i="15"/>
  <c r="D16" i="15"/>
  <c r="H15" i="15"/>
  <c r="G15" i="15"/>
  <c r="F15" i="15"/>
  <c r="E15" i="15"/>
  <c r="D15" i="15"/>
  <c r="H14" i="15"/>
  <c r="G14" i="15"/>
  <c r="F14" i="15"/>
  <c r="E14" i="15"/>
  <c r="D14" i="15"/>
  <c r="H13" i="15"/>
  <c r="F13" i="15"/>
  <c r="E13" i="15"/>
  <c r="D13" i="15"/>
  <c r="H11" i="15"/>
  <c r="F11" i="15"/>
  <c r="E11" i="15"/>
  <c r="D11" i="15"/>
  <c r="H10" i="15"/>
  <c r="G10" i="15"/>
  <c r="G17" i="15" s="1"/>
  <c r="G18" i="15" s="1"/>
  <c r="F10" i="15"/>
  <c r="E10" i="15"/>
  <c r="D10" i="15"/>
  <c r="H9" i="15"/>
  <c r="F9" i="15"/>
  <c r="E9" i="15"/>
  <c r="D9" i="15"/>
  <c r="G8" i="15"/>
  <c r="H7" i="15"/>
  <c r="F7" i="15"/>
  <c r="E7" i="15"/>
  <c r="D7" i="15"/>
  <c r="H6" i="15"/>
  <c r="F6" i="15"/>
  <c r="E6" i="15"/>
  <c r="E8" i="15" s="1"/>
  <c r="D6" i="15"/>
  <c r="D8" i="15" s="1"/>
  <c r="H17" i="17" l="1"/>
  <c r="H18" i="17" s="1"/>
  <c r="D8" i="17"/>
  <c r="F18" i="17"/>
  <c r="E18" i="17"/>
  <c r="D18" i="17"/>
  <c r="F8" i="15"/>
  <c r="E17" i="15"/>
  <c r="E18" i="15" s="1"/>
  <c r="D17" i="15"/>
  <c r="H8" i="15"/>
  <c r="F17" i="15"/>
  <c r="F18" i="15" s="1"/>
  <c r="H17" i="15"/>
  <c r="H18" i="15" s="1"/>
  <c r="D18" i="15"/>
  <c r="H16" i="13" l="1"/>
  <c r="F16" i="13"/>
  <c r="E16" i="13"/>
  <c r="D16" i="13"/>
  <c r="H15" i="13"/>
  <c r="G15" i="13"/>
  <c r="F15" i="13"/>
  <c r="E15" i="13"/>
  <c r="D15" i="13"/>
  <c r="H14" i="13"/>
  <c r="G14" i="13"/>
  <c r="F14" i="13"/>
  <c r="E14" i="13"/>
  <c r="D14" i="13"/>
  <c r="H13" i="13"/>
  <c r="F13" i="13"/>
  <c r="E13" i="13"/>
  <c r="D13" i="13"/>
  <c r="H11" i="13"/>
  <c r="F11" i="13"/>
  <c r="E11" i="13"/>
  <c r="D11" i="13"/>
  <c r="H10" i="13"/>
  <c r="G10" i="13"/>
  <c r="G17" i="13" s="1"/>
  <c r="G18" i="13" s="1"/>
  <c r="F10" i="13"/>
  <c r="E10" i="13"/>
  <c r="D10" i="13"/>
  <c r="H9" i="13"/>
  <c r="F9" i="13"/>
  <c r="E9" i="13"/>
  <c r="E17" i="13" s="1"/>
  <c r="D9" i="13"/>
  <c r="G8" i="13"/>
  <c r="H7" i="13"/>
  <c r="F7" i="13"/>
  <c r="E7" i="13"/>
  <c r="D7" i="13"/>
  <c r="H6" i="13"/>
  <c r="F6" i="13"/>
  <c r="F8" i="13" s="1"/>
  <c r="E6" i="13"/>
  <c r="E8" i="13" s="1"/>
  <c r="D6" i="13"/>
  <c r="D8" i="13" s="1"/>
  <c r="D17" i="13" l="1"/>
  <c r="H8" i="13"/>
  <c r="F17" i="13"/>
  <c r="F18" i="13" s="1"/>
  <c r="H17" i="13"/>
  <c r="H18" i="13" s="1"/>
  <c r="E18" i="13"/>
  <c r="D18" i="13"/>
  <c r="H16" i="12" l="1"/>
  <c r="F16" i="12"/>
  <c r="E16" i="12"/>
  <c r="D16" i="12"/>
  <c r="H15" i="12"/>
  <c r="G15" i="12"/>
  <c r="F15" i="12"/>
  <c r="E15" i="12"/>
  <c r="D15" i="12"/>
  <c r="H14" i="12"/>
  <c r="G14" i="12"/>
  <c r="F14" i="12"/>
  <c r="E14" i="12"/>
  <c r="D14" i="12"/>
  <c r="H13" i="12"/>
  <c r="F13" i="12"/>
  <c r="E13" i="12"/>
  <c r="D13" i="12"/>
  <c r="H11" i="12"/>
  <c r="F11" i="12"/>
  <c r="E11" i="12"/>
  <c r="D11" i="12"/>
  <c r="H10" i="12"/>
  <c r="G10" i="12"/>
  <c r="F10" i="12"/>
  <c r="E10" i="12"/>
  <c r="D10" i="12"/>
  <c r="H9" i="12"/>
  <c r="H17" i="12" s="1"/>
  <c r="F9" i="12"/>
  <c r="F17" i="12" s="1"/>
  <c r="E9" i="12"/>
  <c r="E17" i="12" s="1"/>
  <c r="E18" i="12" s="1"/>
  <c r="D9" i="12"/>
  <c r="G8" i="12"/>
  <c r="H7" i="12"/>
  <c r="F7" i="12"/>
  <c r="E7" i="12"/>
  <c r="D7" i="12"/>
  <c r="H6" i="12"/>
  <c r="H8" i="12" s="1"/>
  <c r="F6" i="12"/>
  <c r="F8" i="12" s="1"/>
  <c r="E6" i="12"/>
  <c r="E8" i="12" s="1"/>
  <c r="D6" i="12"/>
  <c r="D8" i="12" s="1"/>
  <c r="H16" i="10"/>
  <c r="F16" i="10"/>
  <c r="E16" i="10"/>
  <c r="D16" i="10"/>
  <c r="H15" i="10"/>
  <c r="F15" i="10"/>
  <c r="E15" i="10"/>
  <c r="D15" i="10"/>
  <c r="H14" i="10"/>
  <c r="G14" i="10"/>
  <c r="G17" i="10" s="1"/>
  <c r="G18" i="10" s="1"/>
  <c r="F14" i="10"/>
  <c r="E14" i="10"/>
  <c r="D14" i="10"/>
  <c r="H13" i="10"/>
  <c r="F13" i="10"/>
  <c r="E13" i="10"/>
  <c r="D13" i="10"/>
  <c r="H11" i="10"/>
  <c r="F11" i="10"/>
  <c r="E11" i="10"/>
  <c r="D11" i="10"/>
  <c r="H10" i="10"/>
  <c r="F10" i="10"/>
  <c r="E10" i="10"/>
  <c r="D10" i="10"/>
  <c r="H9" i="10"/>
  <c r="H17" i="10" s="1"/>
  <c r="F9" i="10"/>
  <c r="F17" i="10" s="1"/>
  <c r="E9" i="10"/>
  <c r="E17" i="10" s="1"/>
  <c r="D9" i="10"/>
  <c r="D17" i="10" s="1"/>
  <c r="G8" i="10"/>
  <c r="H7" i="10"/>
  <c r="F7" i="10"/>
  <c r="E7" i="10"/>
  <c r="D7" i="10"/>
  <c r="H6" i="10"/>
  <c r="H8" i="10" s="1"/>
  <c r="F6" i="10"/>
  <c r="F8" i="10" s="1"/>
  <c r="E6" i="10"/>
  <c r="E8" i="10" s="1"/>
  <c r="D6" i="10"/>
  <c r="D8" i="10" s="1"/>
  <c r="G17" i="12" l="1"/>
  <c r="G18" i="12" s="1"/>
  <c r="D17" i="12"/>
  <c r="D18" i="12"/>
  <c r="F18" i="12"/>
  <c r="H18" i="12"/>
  <c r="D18" i="10"/>
  <c r="E18" i="10"/>
  <c r="F18" i="10"/>
  <c r="H18" i="10"/>
  <c r="H16" i="9" l="1"/>
  <c r="F16" i="9"/>
  <c r="E16" i="9"/>
  <c r="D16" i="9"/>
  <c r="H15" i="9"/>
  <c r="F15" i="9"/>
  <c r="E15" i="9"/>
  <c r="D15" i="9"/>
  <c r="H14" i="9"/>
  <c r="G14" i="9"/>
  <c r="G17" i="9" s="1"/>
  <c r="G18" i="9" s="1"/>
  <c r="F14" i="9"/>
  <c r="E14" i="9"/>
  <c r="D14" i="9"/>
  <c r="H13" i="9"/>
  <c r="F13" i="9"/>
  <c r="E13" i="9"/>
  <c r="D13" i="9"/>
  <c r="H11" i="9"/>
  <c r="F11" i="9"/>
  <c r="E11" i="9"/>
  <c r="D11" i="9"/>
  <c r="H10" i="9"/>
  <c r="F10" i="9"/>
  <c r="E10" i="9"/>
  <c r="D10" i="9"/>
  <c r="H9" i="9"/>
  <c r="H17" i="9" s="1"/>
  <c r="F9" i="9"/>
  <c r="F17" i="9" s="1"/>
  <c r="E9" i="9"/>
  <c r="D9" i="9"/>
  <c r="G8" i="9"/>
  <c r="H7" i="9"/>
  <c r="F7" i="9"/>
  <c r="E7" i="9"/>
  <c r="D7" i="9"/>
  <c r="H6" i="9"/>
  <c r="H8" i="9" s="1"/>
  <c r="F6" i="9"/>
  <c r="E6" i="9"/>
  <c r="E8" i="9" s="1"/>
  <c r="D6" i="9"/>
  <c r="D8" i="9" l="1"/>
  <c r="D17" i="9"/>
  <c r="F8" i="9"/>
  <c r="F18" i="9" s="1"/>
  <c r="E17" i="9"/>
  <c r="H18" i="9"/>
  <c r="D18" i="9"/>
  <c r="E18" i="9"/>
  <c r="H16" i="8" l="1"/>
  <c r="F16" i="8"/>
  <c r="E16" i="8"/>
  <c r="D16" i="8"/>
  <c r="H15" i="8"/>
  <c r="F15" i="8"/>
  <c r="E15" i="8"/>
  <c r="D15" i="8"/>
  <c r="H14" i="8"/>
  <c r="G14" i="8"/>
  <c r="G17" i="8" s="1"/>
  <c r="F14" i="8"/>
  <c r="E14" i="8"/>
  <c r="D14" i="8"/>
  <c r="H13" i="8"/>
  <c r="F13" i="8"/>
  <c r="E13" i="8"/>
  <c r="D13" i="8"/>
  <c r="H11" i="8"/>
  <c r="F11" i="8"/>
  <c r="E11" i="8"/>
  <c r="D11" i="8"/>
  <c r="H10" i="8"/>
  <c r="F10" i="8"/>
  <c r="E10" i="8"/>
  <c r="D10" i="8"/>
  <c r="H9" i="8"/>
  <c r="F9" i="8"/>
  <c r="E9" i="8"/>
  <c r="D9" i="8"/>
  <c r="G8" i="8"/>
  <c r="H7" i="8"/>
  <c r="H8" i="8" s="1"/>
  <c r="F7" i="8"/>
  <c r="E7" i="8"/>
  <c r="D7" i="8"/>
  <c r="H6" i="8"/>
  <c r="F6" i="8"/>
  <c r="E6" i="8"/>
  <c r="D6" i="8"/>
  <c r="E8" i="8" l="1"/>
  <c r="F8" i="8"/>
  <c r="E17" i="8"/>
  <c r="E18" i="8" s="1"/>
  <c r="D17" i="8"/>
  <c r="G18" i="8"/>
  <c r="D8" i="8"/>
  <c r="D18" i="8" s="1"/>
  <c r="F17" i="8"/>
  <c r="F18" i="8" s="1"/>
  <c r="H17" i="8"/>
  <c r="H18" i="8" s="1"/>
  <c r="F13" i="6"/>
  <c r="H16" i="6" l="1"/>
  <c r="G16" i="6"/>
  <c r="F16" i="6"/>
  <c r="E16" i="6"/>
  <c r="D16" i="6"/>
  <c r="H15" i="6"/>
  <c r="G15" i="6"/>
  <c r="F15" i="6"/>
  <c r="E15" i="6"/>
  <c r="D15" i="6"/>
  <c r="H14" i="6"/>
  <c r="G14" i="6"/>
  <c r="F14" i="6"/>
  <c r="E14" i="6"/>
  <c r="D14" i="6"/>
  <c r="H13" i="6"/>
  <c r="G13" i="6"/>
  <c r="E13" i="6"/>
  <c r="D13" i="6"/>
  <c r="H12" i="6"/>
  <c r="G12" i="6"/>
  <c r="F12" i="6"/>
  <c r="E12" i="6"/>
  <c r="D12" i="6"/>
  <c r="H11" i="6"/>
  <c r="G11" i="6"/>
  <c r="F11" i="6"/>
  <c r="E11" i="6"/>
  <c r="D11" i="6"/>
  <c r="H10" i="6"/>
  <c r="G10" i="6"/>
  <c r="F10" i="6"/>
  <c r="E10" i="6"/>
  <c r="D10" i="6"/>
  <c r="H9" i="6"/>
  <c r="H17" i="6" s="1"/>
  <c r="H18" i="6" s="1"/>
  <c r="G9" i="6"/>
  <c r="G17" i="6" s="1"/>
  <c r="F9" i="6"/>
  <c r="F17" i="6" s="1"/>
  <c r="F18" i="6" s="1"/>
  <c r="E9" i="6"/>
  <c r="E17" i="6" s="1"/>
  <c r="E18" i="6" s="1"/>
  <c r="D9" i="6"/>
  <c r="D17" i="6" s="1"/>
  <c r="D18" i="6" s="1"/>
  <c r="H8" i="6"/>
  <c r="H7" i="6"/>
  <c r="G7" i="6"/>
  <c r="F7" i="6"/>
  <c r="E7" i="6"/>
  <c r="D7" i="6"/>
  <c r="H6" i="6"/>
  <c r="G6" i="6"/>
  <c r="G8" i="6" s="1"/>
  <c r="F6" i="6"/>
  <c r="F8" i="6" s="1"/>
  <c r="E6" i="6"/>
  <c r="E8" i="6" s="1"/>
  <c r="D6" i="6"/>
  <c r="D8" i="6" s="1"/>
  <c r="G18" i="6" l="1"/>
</calcChain>
</file>

<file path=xl/sharedStrings.xml><?xml version="1.0" encoding="utf-8"?>
<sst xmlns="http://schemas.openxmlformats.org/spreadsheetml/2006/main" count="369" uniqueCount="57">
  <si>
    <t>Term
Type</t>
  </si>
  <si>
    <t>Product
Type</t>
  </si>
  <si>
    <t>ST-Debt</t>
  </si>
  <si>
    <t>ST - Other - Non-Callable - Floating</t>
  </si>
  <si>
    <t>Total Short Term Funding Term</t>
  </si>
  <si>
    <t>Benchmark Notes &amp; Bonds</t>
  </si>
  <si>
    <t>Callable Fixed Rate MTN</t>
  </si>
  <si>
    <t>Callable Floating Rate MTN</t>
  </si>
  <si>
    <t>Inv Agrmnts</t>
  </si>
  <si>
    <t>LT - CAS</t>
  </si>
  <si>
    <t>LT - FX Debt</t>
  </si>
  <si>
    <t>Non-Callable Fixed Rate MTN</t>
  </si>
  <si>
    <t>Non-Callable Floating Rate MTN</t>
  </si>
  <si>
    <t>Total Long Term Funding Debt</t>
  </si>
  <si>
    <t>Month Beginning 
Balance</t>
  </si>
  <si>
    <t>Total Issuances
(+)</t>
  </si>
  <si>
    <t>Total Redemptions
(-)</t>
  </si>
  <si>
    <t>FX Translation Gain/Loss &amp; Re-Classes
(-/+)</t>
  </si>
  <si>
    <t>Month End Balance</t>
  </si>
  <si>
    <t>Short Term (ST)</t>
  </si>
  <si>
    <t>Long Term (LT)</t>
  </si>
  <si>
    <t>Total ST Funding + LT Funding Debt</t>
  </si>
  <si>
    <t>ENDNOTES:</t>
  </si>
  <si>
    <t>*Other forms of indebtedness may not be included, such as repo repositions</t>
  </si>
  <si>
    <t xml:space="preserve">Investment Agreements (IA) is a debt obligation of Fannie Mae, where a Lender will invest funds with Fannie and earn a specified rate of return.  </t>
  </si>
  <si>
    <t>The Funding Summary  is not adjusted for the CAS buybacks ( $37M for April '21)</t>
  </si>
  <si>
    <t xml:space="preserve">       CAS debt is recognized as “debt of Fannie Mae” in our consolidated balance sheets. CAS debt issued to investors beginning January 2016 through October 2018 is recognized at amortized cost. CAS debt we issued prior to 2016 is recognized at fair value.</t>
  </si>
  <si>
    <t>DISCLAIMER:</t>
  </si>
  <si>
    <t xml:space="preserve">This information is being provided for informational purposes only and all figures are based on unaudited internal reports and are subject to change.  Although Fannie Mae reasonably attempts to ensure the accuracy of the information it posts, no representation or warranty, express or implied, is or will be made in relation to the accuracy, reliability or completeness of the information contained herein or of any underlying calculations or assumptions used to generate such information. Fannie Mae does not assume any responsibility or obligation to update or revise any information set forth herein, regardless of whether the information has been revised or updated elsewhere or has been affected by new information, future events, or otherwise. No liability whatsoever is or will be accepted by Fannie Mae for any loss or damage howsoever arising out of or in connection with the use of, or reliance upon, the information contained herein.  Although Fannie Mae may post and update data in a regularly scheduled manner, Fannie Mae does not represent that it will regularly post or update this data, and Fannie Mae reserves the right to remove or revise previously posted data at any time.  </t>
  </si>
  <si>
    <t>January 2021</t>
  </si>
  <si>
    <t>0.00</t>
  </si>
  <si>
    <t xml:space="preserve">      CAS debt is recognized as “debt of Fannie Mae” in our consolidated balance sheets. CAS debt issued to investors beginning January 2016 through October 2018 is recognized at amortized cost. CAS debt we issued prior to 2016 is recognized at fair value.</t>
  </si>
  <si>
    <t xml:space="preserve"> The Funding Summary  is not adjusted for the CAS buybacks ( $43M for Jan'21)</t>
  </si>
  <si>
    <t>DISCLAIMER</t>
  </si>
  <si>
    <t>February 2021</t>
  </si>
  <si>
    <t>The Funding Summary  is not adjusted for the CAS buybacks ( $42M for Feb'21)</t>
  </si>
  <si>
    <t>March  2021</t>
  </si>
  <si>
    <t xml:space="preserve">        CAS debt is recognized as “debt of Fannie Mae” in our consolidated balance sheets. CAS debt issued to investors beginning January 2016 through October 2018 is recognized at amortized cost. CAS debt we issued prior to 2016 is recognized at fair value.</t>
  </si>
  <si>
    <t>The Funding Summary  is not adjusted for the CAS buybacks ( $39M for Mar'21)</t>
  </si>
  <si>
    <t>The Funding Summary  is not adjusted for the CAS buybacks ( $34M for May '21)</t>
  </si>
  <si>
    <t>The Funding Summary  is not adjusted for the CAS buybacks ( $32M for June'21)</t>
  </si>
  <si>
    <t xml:space="preserve">           CAS debt is recognized as “debt of Fannie Mae” in our consolidated balance sheets. CAS debt issued to investors beginning January 2016 through October 2018 is recognized at amortized cost. CAS debt we issued prior to 2016 is recognized at fair value.</t>
  </si>
  <si>
    <t>The Funding Summary  is not adjusted for the CAS buybacks ( $30M for July'21)</t>
  </si>
  <si>
    <t>August 2021</t>
  </si>
  <si>
    <t>The Funding Summary  is not adjusted for the CAS buybacks ( $28.7M for Aug'21)</t>
  </si>
  <si>
    <t>September 2021</t>
  </si>
  <si>
    <t>The Funding Summary  is not adjusted for the CAS buybacks ( $27.3M for Sep '21)</t>
  </si>
  <si>
    <t>October 2021</t>
  </si>
  <si>
    <t>The Funding Summary  is not adjusted for the CAS buybacks ( $26.1M for Oct '21)</t>
  </si>
  <si>
    <t>November 2021</t>
  </si>
  <si>
    <t>The Funding Summary  is not adjusted for the CAS buybacks ( $27.4M for Nov '21)</t>
  </si>
  <si>
    <t>July 2021</t>
  </si>
  <si>
    <t>June 2021</t>
  </si>
  <si>
    <t>May 2021</t>
  </si>
  <si>
    <t>April 2021</t>
  </si>
  <si>
    <t>December 2021</t>
  </si>
  <si>
    <t>The Funding Summary  is not adjusted for the CAS buybacks ( $23.5M for Dec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</si>
</sst>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3" formatCode="_(* #,##0.00_);_(* \(#,##0.00\);_(* &quot;-&quot;??_);_(@_)"/>
  </numFmts>
  <fonts count="20" x14ac:knownFonts="1">
    <font>
      <sz val="10"/>
      <color rgb="FF000000"/>
      <name val="Arial"/>
    </font>
    <font>
      <sz val="10"/>
      <color rgb="FF333333"/>
      <name val="Source Sans Pro"/>
      <family val="2"/>
    </font>
    <font>
      <b/>
      <sz val="9"/>
      <color rgb="FF333333"/>
      <name val="Source Sans Pro"/>
      <family val="2"/>
    </font>
    <font>
      <sz val="9"/>
      <color rgb="FF333333"/>
      <name val="Source Sans Pro"/>
      <family val="2"/>
    </font>
    <font>
      <sz val="9"/>
      <color rgb="FF333333"/>
      <name val="Arial"/>
      <family val="2"/>
    </font>
    <font>
      <sz val="10"/>
      <color rgb="FF000000"/>
      <name val="Source Sans Pro"/>
      <family val="2"/>
    </font>
    <font>
      <b/>
      <u/>
      <sz val="12"/>
      <color rgb="FF333333"/>
      <name val="Source Sans Pro"/>
      <family val="2"/>
    </font>
    <font>
      <b/>
      <sz val="18"/>
      <color rgb="FF333333"/>
      <name val="Source Sans Pro"/>
      <family val="2"/>
    </font>
    <font>
      <b/>
      <sz val="12"/>
      <color rgb="FFFFFFFF"/>
      <name val="Source Sans Pro"/>
      <family val="2"/>
    </font>
    <font>
      <b/>
      <sz val="12"/>
      <color rgb="FF333333"/>
      <name val="Source Sans Pro"/>
      <family val="2"/>
    </font>
    <font>
      <sz val="12"/>
      <color rgb="FF333333"/>
      <name val="Source Sans Pro"/>
      <family val="2"/>
    </font>
    <font>
      <sz val="9"/>
      <name val="Arial"/>
      <family val="2"/>
    </font>
    <font>
      <b/>
      <sz val="12"/>
      <color theme="0"/>
      <name val="Source Sans Pro"/>
      <family val="2"/>
    </font>
    <font>
      <b/>
      <sz val="12"/>
      <color rgb="FF000000"/>
      <name val="Source Sans Pro"/>
      <family val="2"/>
    </font>
    <font>
      <i/>
      <sz val="10"/>
      <color rgb="FF000000"/>
      <name val="Source Sans Pro"/>
      <family val="2"/>
    </font>
    <font>
      <b/>
      <sz val="10"/>
      <color rgb="FF000000"/>
      <name val="Source Sans Pro"/>
      <family val="2"/>
    </font>
    <font>
      <sz val="10"/>
      <color rgb="FF000000"/>
      <name val="Arial"/>
      <family val="2"/>
    </font>
    <font>
      <i/>
      <sz val="10"/>
      <color rgb="FF000000"/>
      <name val="Calibri"/>
      <family val="2"/>
    </font>
    <font>
      <i/>
      <sz val="11"/>
      <color rgb="FF000000"/>
      <name val="Calibri"/>
      <family val="2"/>
    </font>
    <font>
      <i/>
      <sz val="11"/>
      <color rgb="FF000000"/>
      <name val="Source Sans Pro"/>
      <family val="2"/>
    </font>
  </fonts>
  <fills count="6">
    <fill>
      <patternFill patternType="none"/>
    </fill>
    <fill>
      <patternFill patternType="gray125"/>
    </fill>
    <fill>
      <patternFill patternType="solid">
        <fgColor rgb="FFFFFFFF"/>
        <bgColor rgb="FFFFFFFF"/>
      </patternFill>
    </fill>
    <fill>
      <patternFill patternType="solid">
        <fgColor rgb="FF254061"/>
        <bgColor rgb="FFFFFFFF"/>
      </patternFill>
    </fill>
    <fill>
      <patternFill patternType="solid">
        <fgColor rgb="FFC0C0C0"/>
        <bgColor rgb="FFFFFFFF"/>
      </patternFill>
    </fill>
    <fill>
      <patternFill patternType="solid">
        <fgColor theme="0" tint="-0.499984740745262"/>
        <bgColor indexed="64"/>
      </patternFill>
    </fill>
  </fills>
  <borders count="16">
    <border>
      <left/>
      <right/>
      <top/>
      <bottom/>
      <diagonal/>
    </border>
    <border>
      <left style="thin">
        <color rgb="FFEBEBEB"/>
      </left>
      <right style="thin">
        <color rgb="FFEBEBEB"/>
      </right>
      <top style="thin">
        <color rgb="FFCAC9D9"/>
      </top>
      <bottom style="thin">
        <color rgb="FFEBEBEB"/>
      </bottom>
      <diagonal/>
    </border>
    <border>
      <left style="medium">
        <color indexed="64"/>
      </left>
      <right style="thin">
        <color rgb="FF3877A6"/>
      </right>
      <top style="medium">
        <color indexed="64"/>
      </top>
      <bottom style="thin">
        <color rgb="FFA5A5B1"/>
      </bottom>
      <diagonal/>
    </border>
    <border>
      <left style="thin">
        <color rgb="FF3877A6"/>
      </left>
      <right style="thin">
        <color rgb="FF3877A6"/>
      </right>
      <top style="medium">
        <color indexed="64"/>
      </top>
      <bottom style="thin">
        <color rgb="FFA5A5B1"/>
      </bottom>
      <diagonal/>
    </border>
    <border>
      <left style="thin">
        <color rgb="FF3877A6"/>
      </left>
      <right style="medium">
        <color indexed="64"/>
      </right>
      <top style="medium">
        <color indexed="64"/>
      </top>
      <bottom style="thin">
        <color rgb="FFA5A5B1"/>
      </bottom>
      <diagonal/>
    </border>
    <border>
      <left style="medium">
        <color indexed="64"/>
      </left>
      <right style="thin">
        <color rgb="FFEBEBEB"/>
      </right>
      <top style="thin">
        <color rgb="FFCAC9D9"/>
      </top>
      <bottom/>
      <diagonal/>
    </border>
    <border>
      <left style="thin">
        <color rgb="FFEBEBEB"/>
      </left>
      <right style="medium">
        <color indexed="64"/>
      </right>
      <top style="thin">
        <color rgb="FFCAC9D9"/>
      </top>
      <bottom style="thin">
        <color rgb="FFEBEBEB"/>
      </bottom>
      <diagonal/>
    </border>
    <border>
      <left style="medium">
        <color indexed="64"/>
      </left>
      <right style="thin">
        <color rgb="FFEBEBEB"/>
      </right>
      <top/>
      <bottom style="thin">
        <color rgb="FFCAC9D9"/>
      </bottom>
      <diagonal/>
    </border>
    <border>
      <left style="medium">
        <color indexed="64"/>
      </left>
      <right style="thin">
        <color rgb="FFEBEBEB"/>
      </right>
      <top style="thin">
        <color rgb="FFCAC9D9"/>
      </top>
      <bottom style="thin">
        <color rgb="FFEBEBEB"/>
      </bottom>
      <diagonal/>
    </border>
    <border>
      <left style="medium">
        <color indexed="64"/>
      </left>
      <right style="thin">
        <color rgb="FFEBEBEB"/>
      </right>
      <top/>
      <bottom/>
      <diagonal/>
    </border>
    <border>
      <left style="thin">
        <color rgb="FFEBEBEB"/>
      </left>
      <right style="thin">
        <color rgb="FFEBEBEB"/>
      </right>
      <top style="thin">
        <color rgb="FFCAC9D9"/>
      </top>
      <bottom/>
      <diagonal/>
    </border>
    <border>
      <left style="medium">
        <color indexed="64"/>
      </left>
      <right/>
      <top style="thin">
        <color indexed="64"/>
      </top>
      <bottom style="medium">
        <color indexed="64"/>
      </bottom>
      <diagonal/>
    </border>
    <border>
      <left/>
      <right style="thin">
        <color rgb="FFEBEBEB"/>
      </right>
      <top style="thin">
        <color indexed="64"/>
      </top>
      <bottom style="medium">
        <color indexed="64"/>
      </bottom>
      <diagonal/>
    </border>
    <border>
      <left style="thin">
        <color rgb="FFEBEBEB"/>
      </left>
      <right style="thin">
        <color rgb="FFEBEBEB"/>
      </right>
      <top style="thin">
        <color indexed="64"/>
      </top>
      <bottom style="medium">
        <color indexed="64"/>
      </bottom>
      <diagonal/>
    </border>
    <border>
      <left style="thin">
        <color rgb="FFEBEBEB"/>
      </left>
      <right style="medium">
        <color indexed="64"/>
      </right>
      <top style="thin">
        <color rgb="FFCAC9D9"/>
      </top>
      <bottom/>
      <diagonal/>
    </border>
    <border>
      <left style="thin">
        <color rgb="FFEBEBEB"/>
      </left>
      <right style="medium">
        <color indexed="64"/>
      </right>
      <top style="thin">
        <color indexed="64"/>
      </top>
      <bottom style="medium">
        <color indexed="64"/>
      </bottom>
      <diagonal/>
    </border>
  </borders>
  <cellStyleXfs count="4">
    <xf numFmtId="0" fontId="0" fillId="0" borderId="0"/>
    <xf numFmtId="0" fontId="16" fillId="0" borderId="0"/>
    <xf numFmtId="43" fontId="16" fillId="0" borderId="0" applyFont="0" applyFill="0" applyBorder="0" applyAlignment="0" applyProtection="0"/>
    <xf numFmtId="0" fontId="16" fillId="0" borderId="0"/>
  </cellStyleXfs>
  <cellXfs count="113">
    <xf numFmtId="0" fontId="0" fillId="0" borderId="0" xfId="0"/>
    <xf numFmtId="0" fontId="1" fillId="2" borderId="0" xfId="0" applyFont="1" applyFill="1" applyAlignment="1">
      <alignment horizontal="left"/>
    </xf>
    <xf numFmtId="0" fontId="2" fillId="2" borderId="0" xfId="0" applyFont="1" applyFill="1" applyAlignment="1">
      <alignment horizontal="left"/>
    </xf>
    <xf numFmtId="37" fontId="3" fillId="2" borderId="0" xfId="0" applyNumberFormat="1" applyFont="1" applyFill="1" applyAlignment="1">
      <alignment horizontal="left"/>
    </xf>
    <xf numFmtId="42" fontId="4" fillId="2" borderId="0" xfId="0" applyNumberFormat="1" applyFont="1" applyFill="1" applyAlignment="1">
      <alignment horizontal="left"/>
    </xf>
    <xf numFmtId="0" fontId="4" fillId="2" borderId="0" xfId="0" applyFont="1" applyFill="1" applyAlignment="1">
      <alignment horizontal="left"/>
    </xf>
    <xf numFmtId="0" fontId="5" fillId="0" borderId="0" xfId="0" applyFont="1"/>
    <xf numFmtId="0" fontId="6" fillId="2" borderId="0" xfId="0" applyFont="1" applyFill="1" applyAlignment="1">
      <alignment vertical="center"/>
    </xf>
    <xf numFmtId="0" fontId="8" fillId="3" borderId="2" xfId="0" applyFont="1" applyFill="1" applyBorder="1" applyAlignment="1">
      <alignment horizontal="center" vertical="center" wrapText="1"/>
    </xf>
    <xf numFmtId="37" fontId="8" fillId="3" borderId="3" xfId="0" applyNumberFormat="1" applyFont="1" applyFill="1" applyBorder="1" applyAlignment="1">
      <alignment horizontal="center" vertical="center" wrapText="1"/>
    </xf>
    <xf numFmtId="42" fontId="8" fillId="3" borderId="3" xfId="0" applyNumberFormat="1" applyFont="1" applyFill="1" applyBorder="1" applyAlignment="1">
      <alignment horizontal="center" vertical="center" wrapText="1"/>
    </xf>
    <xf numFmtId="42" fontId="8" fillId="3" borderId="4" xfId="0" applyNumberFormat="1" applyFont="1" applyFill="1" applyBorder="1" applyAlignment="1">
      <alignment horizontal="center" vertical="center" wrapText="1"/>
    </xf>
    <xf numFmtId="37" fontId="10" fillId="0" borderId="1" xfId="0" applyNumberFormat="1" applyFont="1" applyBorder="1" applyAlignment="1">
      <alignment horizontal="left" wrapText="1"/>
    </xf>
    <xf numFmtId="42" fontId="10" fillId="0" borderId="1" xfId="0" applyNumberFormat="1" applyFont="1" applyBorder="1" applyAlignment="1">
      <alignment horizontal="right" wrapText="1"/>
    </xf>
    <xf numFmtId="42" fontId="10" fillId="0" borderId="6" xfId="0" applyNumberFormat="1" applyFont="1" applyBorder="1" applyAlignment="1">
      <alignment horizontal="right" wrapText="1"/>
    </xf>
    <xf numFmtId="42" fontId="9" fillId="4" borderId="1" xfId="0" applyNumberFormat="1" applyFont="1" applyFill="1" applyBorder="1" applyAlignment="1">
      <alignment horizontal="right" wrapText="1"/>
    </xf>
    <xf numFmtId="42" fontId="11" fillId="2" borderId="0" xfId="0" applyNumberFormat="1" applyFont="1" applyFill="1" applyAlignment="1">
      <alignment horizontal="left"/>
    </xf>
    <xf numFmtId="42" fontId="9" fillId="4" borderId="10" xfId="0" applyNumberFormat="1" applyFont="1" applyFill="1" applyBorder="1" applyAlignment="1">
      <alignment horizontal="right" wrapText="1"/>
    </xf>
    <xf numFmtId="42" fontId="12" fillId="5" borderId="13" xfId="0" applyNumberFormat="1" applyFont="1" applyFill="1" applyBorder="1" applyAlignment="1">
      <alignment horizontal="right" wrapText="1"/>
    </xf>
    <xf numFmtId="0" fontId="13" fillId="0" borderId="0" xfId="0" applyFont="1"/>
    <xf numFmtId="37" fontId="5" fillId="0" borderId="0" xfId="0" applyNumberFormat="1" applyFont="1"/>
    <xf numFmtId="42" fontId="0" fillId="0" borderId="0" xfId="0" applyNumberFormat="1"/>
    <xf numFmtId="0" fontId="14" fillId="0" borderId="0" xfId="0" applyFont="1"/>
    <xf numFmtId="0" fontId="15" fillId="0" borderId="0" xfId="0" applyFont="1"/>
    <xf numFmtId="42" fontId="5" fillId="0" borderId="0" xfId="0" applyNumberFormat="1" applyFont="1"/>
    <xf numFmtId="0" fontId="14" fillId="0" borderId="0" xfId="0" applyFont="1" applyAlignment="1">
      <alignment horizontal="left" vertical="center" indent="3"/>
    </xf>
    <xf numFmtId="0" fontId="1" fillId="2" borderId="0" xfId="3" applyFont="1" applyFill="1" applyAlignment="1">
      <alignment horizontal="left"/>
    </xf>
    <xf numFmtId="0" fontId="2" fillId="2" borderId="0" xfId="3" applyFont="1" applyFill="1" applyAlignment="1">
      <alignment horizontal="left"/>
    </xf>
    <xf numFmtId="37" fontId="3" fillId="2" borderId="0" xfId="3" applyNumberFormat="1" applyFont="1" applyFill="1" applyAlignment="1">
      <alignment horizontal="left"/>
    </xf>
    <xf numFmtId="42" fontId="4" fillId="2" borderId="0" xfId="3" applyNumberFormat="1" applyFont="1" applyFill="1" applyAlignment="1">
      <alignment horizontal="left"/>
    </xf>
    <xf numFmtId="0" fontId="4" fillId="2" borderId="0" xfId="3" applyFont="1" applyFill="1" applyAlignment="1">
      <alignment horizontal="left"/>
    </xf>
    <xf numFmtId="0" fontId="5" fillId="0" borderId="0" xfId="3" applyFont="1"/>
    <xf numFmtId="0" fontId="6" fillId="2" borderId="0" xfId="3" applyFont="1" applyFill="1" applyAlignment="1">
      <alignment vertical="center"/>
    </xf>
    <xf numFmtId="0" fontId="8" fillId="3" borderId="2" xfId="1" applyFont="1" applyFill="1" applyBorder="1" applyAlignment="1">
      <alignment horizontal="center" vertical="center" wrapText="1"/>
    </xf>
    <xf numFmtId="37" fontId="8" fillId="3" borderId="3" xfId="1" applyNumberFormat="1" applyFont="1" applyFill="1" applyBorder="1" applyAlignment="1">
      <alignment horizontal="center" vertical="center" wrapText="1"/>
    </xf>
    <xf numFmtId="42" fontId="8" fillId="3" borderId="3" xfId="1" applyNumberFormat="1" applyFont="1" applyFill="1" applyBorder="1" applyAlignment="1">
      <alignment horizontal="center" vertical="center" wrapText="1"/>
    </xf>
    <xf numFmtId="42" fontId="8" fillId="3" borderId="4" xfId="1" applyNumberFormat="1" applyFont="1" applyFill="1" applyBorder="1" applyAlignment="1">
      <alignment horizontal="center" vertical="center" wrapText="1"/>
    </xf>
    <xf numFmtId="37" fontId="10" fillId="0" borderId="1" xfId="1" applyNumberFormat="1" applyFont="1" applyBorder="1" applyAlignment="1">
      <alignment horizontal="left" wrapText="1"/>
    </xf>
    <xf numFmtId="42" fontId="10" fillId="0" borderId="1" xfId="1" applyNumberFormat="1" applyFont="1" applyBorder="1" applyAlignment="1">
      <alignment horizontal="right" wrapText="1"/>
    </xf>
    <xf numFmtId="42" fontId="10" fillId="0" borderId="6" xfId="1" applyNumberFormat="1" applyFont="1" applyBorder="1" applyAlignment="1">
      <alignment horizontal="right" wrapText="1"/>
    </xf>
    <xf numFmtId="42" fontId="9" fillId="4" borderId="1" xfId="1" applyNumberFormat="1" applyFont="1" applyFill="1" applyBorder="1" applyAlignment="1">
      <alignment horizontal="right" wrapText="1"/>
    </xf>
    <xf numFmtId="42" fontId="9" fillId="4" borderId="6" xfId="1" applyNumberFormat="1" applyFont="1" applyFill="1" applyBorder="1" applyAlignment="1">
      <alignment horizontal="right" wrapText="1"/>
    </xf>
    <xf numFmtId="42" fontId="11" fillId="2" borderId="0" xfId="3" applyNumberFormat="1" applyFont="1" applyFill="1" applyAlignment="1">
      <alignment horizontal="left"/>
    </xf>
    <xf numFmtId="42" fontId="9" fillId="4" borderId="10" xfId="1" applyNumberFormat="1" applyFont="1" applyFill="1" applyBorder="1" applyAlignment="1">
      <alignment horizontal="right" wrapText="1"/>
    </xf>
    <xf numFmtId="42" fontId="9" fillId="4" borderId="14" xfId="1" applyNumberFormat="1" applyFont="1" applyFill="1" applyBorder="1" applyAlignment="1">
      <alignment horizontal="right" wrapText="1"/>
    </xf>
    <xf numFmtId="42" fontId="12" fillId="5" borderId="13" xfId="1" applyNumberFormat="1" applyFont="1" applyFill="1" applyBorder="1" applyAlignment="1">
      <alignment horizontal="right" wrapText="1"/>
    </xf>
    <xf numFmtId="42" fontId="12" fillId="5" borderId="15" xfId="1" applyNumberFormat="1" applyFont="1" applyFill="1" applyBorder="1" applyAlignment="1">
      <alignment horizontal="right" wrapText="1"/>
    </xf>
    <xf numFmtId="0" fontId="13" fillId="0" borderId="0" xfId="3" applyFont="1"/>
    <xf numFmtId="37" fontId="5" fillId="0" borderId="0" xfId="3" applyNumberFormat="1" applyFont="1"/>
    <xf numFmtId="42" fontId="16" fillId="0" borderId="0" xfId="3" applyNumberFormat="1"/>
    <xf numFmtId="0" fontId="16" fillId="0" borderId="0" xfId="3"/>
    <xf numFmtId="0" fontId="14" fillId="0" borderId="0" xfId="1" applyFont="1"/>
    <xf numFmtId="42" fontId="5" fillId="0" borderId="0" xfId="3" applyNumberFormat="1" applyFont="1"/>
    <xf numFmtId="0" fontId="14" fillId="0" borderId="0" xfId="3" applyFont="1" applyAlignment="1">
      <alignment horizontal="left" vertical="center" indent="3"/>
    </xf>
    <xf numFmtId="0" fontId="15" fillId="0" borderId="0" xfId="3" applyFont="1"/>
    <xf numFmtId="0" fontId="1" fillId="2" borderId="0" xfId="1" applyFont="1" applyFill="1" applyAlignment="1">
      <alignment horizontal="left"/>
    </xf>
    <xf numFmtId="0" fontId="2" fillId="2" borderId="0" xfId="1" applyFont="1" applyFill="1" applyAlignment="1">
      <alignment horizontal="left"/>
    </xf>
    <xf numFmtId="37" fontId="3" fillId="2" borderId="0" xfId="1" applyNumberFormat="1" applyFont="1" applyFill="1" applyAlignment="1">
      <alignment horizontal="left"/>
    </xf>
    <xf numFmtId="42" fontId="4" fillId="2" borderId="0" xfId="1" applyNumberFormat="1" applyFont="1" applyFill="1" applyAlignment="1">
      <alignment horizontal="left"/>
    </xf>
    <xf numFmtId="0" fontId="4" fillId="2" borderId="0" xfId="1" applyFont="1" applyFill="1" applyAlignment="1">
      <alignment horizontal="left"/>
    </xf>
    <xf numFmtId="0" fontId="5" fillId="0" borderId="0" xfId="1" applyFont="1"/>
    <xf numFmtId="0" fontId="6" fillId="2" borderId="0" xfId="1" applyFont="1" applyFill="1" applyAlignment="1">
      <alignment vertical="center"/>
    </xf>
    <xf numFmtId="42" fontId="11" fillId="2" borderId="0" xfId="1" applyNumberFormat="1" applyFont="1" applyFill="1" applyAlignment="1">
      <alignment horizontal="left"/>
    </xf>
    <xf numFmtId="0" fontId="13" fillId="0" borderId="0" xfId="1" applyFont="1"/>
    <xf numFmtId="37" fontId="5" fillId="0" borderId="0" xfId="1" applyNumberFormat="1" applyFont="1"/>
    <xf numFmtId="42" fontId="16" fillId="0" borderId="0" xfId="1" applyNumberFormat="1"/>
    <xf numFmtId="0" fontId="16" fillId="0" borderId="0" xfId="1"/>
    <xf numFmtId="0" fontId="17" fillId="0" borderId="0" xfId="1" applyFont="1" applyAlignment="1">
      <alignment horizontal="left" vertical="center" indent="3"/>
    </xf>
    <xf numFmtId="0" fontId="15" fillId="0" borderId="0" xfId="1" applyFont="1"/>
    <xf numFmtId="0" fontId="18" fillId="0" borderId="0" xfId="0" applyFont="1" applyAlignment="1">
      <alignment horizontal="left" vertical="center" indent="3"/>
    </xf>
    <xf numFmtId="0" fontId="19" fillId="0" borderId="0" xfId="0" applyFont="1"/>
    <xf numFmtId="0" fontId="1" fillId="0" borderId="0" xfId="0" applyFont="1" applyAlignment="1">
      <alignment horizontal="left"/>
    </xf>
    <xf numFmtId="0" fontId="4" fillId="0" borderId="0" xfId="0" applyFont="1" applyAlignment="1">
      <alignment horizontal="left"/>
    </xf>
    <xf numFmtId="0" fontId="19" fillId="0" borderId="0" xfId="0" applyFont="1" applyFill="1"/>
    <xf numFmtId="37" fontId="5" fillId="0" borderId="0" xfId="0" applyNumberFormat="1" applyFont="1" applyFill="1"/>
    <xf numFmtId="42" fontId="0" fillId="0" borderId="0" xfId="0" applyNumberFormat="1" applyFill="1"/>
    <xf numFmtId="0" fontId="14" fillId="0" borderId="0" xfId="3" applyFont="1" applyAlignment="1">
      <alignment horizontal="left" vertical="center" wrapText="1"/>
    </xf>
    <xf numFmtId="0" fontId="5" fillId="0" borderId="0" xfId="3" applyFont="1" applyAlignment="1">
      <alignment horizontal="left" wrapText="1"/>
    </xf>
    <xf numFmtId="49" fontId="7" fillId="2" borderId="0" xfId="3" applyNumberFormat="1" applyFont="1" applyFill="1" applyAlignment="1">
      <alignment horizontal="center"/>
    </xf>
    <xf numFmtId="49" fontId="9" fillId="0" borderId="5" xfId="3" applyNumberFormat="1" applyFont="1" applyBorder="1" applyAlignment="1">
      <alignment horizontal="center" vertical="center" wrapText="1"/>
    </xf>
    <xf numFmtId="49" fontId="9" fillId="0" borderId="7" xfId="3" applyNumberFormat="1" applyFont="1" applyBorder="1" applyAlignment="1">
      <alignment horizontal="center" vertical="center" wrapText="1"/>
    </xf>
    <xf numFmtId="49" fontId="9" fillId="4" borderId="8" xfId="3" applyNumberFormat="1" applyFont="1" applyFill="1" applyBorder="1" applyAlignment="1">
      <alignment horizontal="left" vertical="center" wrapText="1"/>
    </xf>
    <xf numFmtId="49" fontId="9" fillId="4" borderId="1" xfId="3" applyNumberFormat="1" applyFont="1" applyFill="1" applyBorder="1" applyAlignment="1">
      <alignment horizontal="left" vertical="center" wrapText="1"/>
    </xf>
    <xf numFmtId="49" fontId="9" fillId="0" borderId="9" xfId="3" applyNumberFormat="1" applyFont="1" applyBorder="1" applyAlignment="1">
      <alignment horizontal="center" vertical="center" wrapText="1"/>
    </xf>
    <xf numFmtId="49" fontId="9" fillId="4" borderId="5" xfId="3" applyNumberFormat="1" applyFont="1" applyFill="1" applyBorder="1" applyAlignment="1">
      <alignment horizontal="left" vertical="center" wrapText="1"/>
    </xf>
    <xf numFmtId="49" fontId="9" fillId="4" borderId="10" xfId="3" applyNumberFormat="1" applyFont="1" applyFill="1" applyBorder="1" applyAlignment="1">
      <alignment horizontal="left" vertical="center" wrapText="1"/>
    </xf>
    <xf numFmtId="49" fontId="12" fillId="5" borderId="11" xfId="3" applyNumberFormat="1" applyFont="1" applyFill="1" applyBorder="1" applyAlignment="1">
      <alignment horizontal="left" vertical="center" wrapText="1"/>
    </xf>
    <xf numFmtId="49" fontId="12" fillId="5" borderId="12" xfId="3" applyNumberFormat="1" applyFont="1" applyFill="1" applyBorder="1" applyAlignment="1">
      <alignment horizontal="left" vertical="center" wrapText="1"/>
    </xf>
    <xf numFmtId="0" fontId="5" fillId="0" borderId="0" xfId="0" applyFont="1" applyAlignment="1">
      <alignment wrapText="1"/>
    </xf>
    <xf numFmtId="0" fontId="17" fillId="0" borderId="0" xfId="1" applyFont="1" applyAlignment="1">
      <alignment horizontal="left" vertical="center" wrapText="1"/>
    </xf>
    <xf numFmtId="49" fontId="7" fillId="2" borderId="0" xfId="1" applyNumberFormat="1" applyFont="1" applyFill="1" applyAlignment="1">
      <alignment horizontal="center"/>
    </xf>
    <xf numFmtId="49" fontId="9" fillId="0" borderId="5" xfId="1" applyNumberFormat="1" applyFont="1" applyBorder="1" applyAlignment="1">
      <alignment horizontal="center" vertical="center" wrapText="1"/>
    </xf>
    <xf numFmtId="49" fontId="9" fillId="0" borderId="7" xfId="1" applyNumberFormat="1" applyFont="1" applyBorder="1" applyAlignment="1">
      <alignment horizontal="center" vertical="center" wrapText="1"/>
    </xf>
    <xf numFmtId="49" fontId="9" fillId="4" borderId="8" xfId="1" applyNumberFormat="1" applyFont="1" applyFill="1" applyBorder="1" applyAlignment="1">
      <alignment horizontal="left" vertical="center" wrapText="1"/>
    </xf>
    <xf numFmtId="49" fontId="9" fillId="4" borderId="1" xfId="1" applyNumberFormat="1" applyFont="1" applyFill="1" applyBorder="1" applyAlignment="1">
      <alignment horizontal="left" vertical="center" wrapText="1"/>
    </xf>
    <xf numFmtId="49" fontId="9" fillId="0" borderId="9" xfId="1" applyNumberFormat="1" applyFont="1" applyBorder="1" applyAlignment="1">
      <alignment horizontal="center" vertical="center" wrapText="1"/>
    </xf>
    <xf numFmtId="49" fontId="9" fillId="4" borderId="5" xfId="1" applyNumberFormat="1" applyFont="1" applyFill="1" applyBorder="1" applyAlignment="1">
      <alignment horizontal="left" vertical="center" wrapText="1"/>
    </xf>
    <xf numFmtId="49" fontId="9" fillId="4" borderId="10" xfId="1" applyNumberFormat="1" applyFont="1" applyFill="1" applyBorder="1" applyAlignment="1">
      <alignment horizontal="left" vertical="center" wrapText="1"/>
    </xf>
    <xf numFmtId="49" fontId="12" fillId="5" borderId="11" xfId="1" applyNumberFormat="1" applyFont="1" applyFill="1" applyBorder="1" applyAlignment="1">
      <alignment horizontal="left" vertical="center" wrapText="1"/>
    </xf>
    <xf numFmtId="49" fontId="12" fillId="5" borderId="12" xfId="1" applyNumberFormat="1" applyFont="1" applyFill="1" applyBorder="1" applyAlignment="1">
      <alignment horizontal="left" vertical="center" wrapText="1"/>
    </xf>
    <xf numFmtId="0" fontId="14" fillId="0" borderId="0" xfId="0" applyFont="1" applyAlignment="1">
      <alignment horizontal="left" vertical="center" wrapText="1"/>
    </xf>
    <xf numFmtId="49" fontId="12" fillId="5" borderId="11" xfId="0" applyNumberFormat="1" applyFont="1" applyFill="1" applyBorder="1" applyAlignment="1">
      <alignment horizontal="left" vertical="center" wrapText="1"/>
    </xf>
    <xf numFmtId="49" fontId="12" fillId="5" borderId="12" xfId="0" applyNumberFormat="1" applyFont="1" applyFill="1" applyBorder="1" applyAlignment="1">
      <alignment horizontal="left" vertical="center" wrapText="1"/>
    </xf>
    <xf numFmtId="49" fontId="7" fillId="2" borderId="0" xfId="0" applyNumberFormat="1" applyFont="1" applyFill="1" applyAlignment="1">
      <alignment horizontal="center"/>
    </xf>
    <xf numFmtId="49" fontId="9" fillId="0" borderId="5"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4" borderId="8" xfId="0" applyNumberFormat="1" applyFont="1" applyFill="1" applyBorder="1" applyAlignment="1">
      <alignment horizontal="left" vertical="center" wrapText="1"/>
    </xf>
    <xf numFmtId="49" fontId="9" fillId="4" borderId="1" xfId="0" applyNumberFormat="1" applyFont="1" applyFill="1" applyBorder="1" applyAlignment="1">
      <alignment horizontal="left" vertical="center" wrapText="1"/>
    </xf>
    <xf numFmtId="49" fontId="9" fillId="0" borderId="9" xfId="0" applyNumberFormat="1" applyFont="1" applyBorder="1" applyAlignment="1">
      <alignment horizontal="center" vertical="center" wrapText="1"/>
    </xf>
    <xf numFmtId="49" fontId="9" fillId="4" borderId="5" xfId="0" applyNumberFormat="1" applyFont="1" applyFill="1" applyBorder="1" applyAlignment="1">
      <alignment horizontal="left" vertical="center" wrapText="1"/>
    </xf>
    <xf numFmtId="49" fontId="9" fillId="4" borderId="10" xfId="0" applyNumberFormat="1" applyFont="1" applyFill="1" applyBorder="1" applyAlignment="1">
      <alignment horizontal="left" vertical="center" wrapText="1"/>
    </xf>
    <xf numFmtId="0" fontId="18" fillId="0" borderId="0" xfId="0" applyFont="1" applyAlignment="1">
      <alignment horizontal="left" vertical="center" wrapText="1"/>
    </xf>
    <xf numFmtId="0" fontId="0" fillId="0" borderId="0" xfId="0" applyAlignment="1">
      <alignment wrapText="1"/>
    </xf>
  </cellXfs>
  <cellStyles count="4">
    <cellStyle name="Comma 2" xfId="2" xr:uid="{B8E1AE3D-6BD4-426C-9E5B-5DB6046869E0}"/>
    <cellStyle name="Normal" xfId="0" builtinId="0"/>
    <cellStyle name="Normal 2" xfId="1" xr:uid="{BA6D9BE8-1FBF-4CDF-8A49-5716D718FB96}"/>
    <cellStyle name="Normal 2 2" xfId="3" xr:uid="{82DC7AD7-8C86-4FDA-A97F-C2F18061F0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453390</xdr:colOff>
      <xdr:row>4</xdr:row>
      <xdr:rowOff>3063</xdr:rowOff>
    </xdr:to>
    <xdr:pic>
      <xdr:nvPicPr>
        <xdr:cNvPr id="2" name="Picture 1">
          <a:extLst>
            <a:ext uri="{FF2B5EF4-FFF2-40B4-BE49-F238E27FC236}">
              <a16:creationId xmlns:a16="http://schemas.microsoft.com/office/drawing/2014/main" id="{BCD899B0-EB83-426F-8782-111A6C7C15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505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453390</xdr:colOff>
      <xdr:row>4</xdr:row>
      <xdr:rowOff>3063</xdr:rowOff>
    </xdr:to>
    <xdr:pic>
      <xdr:nvPicPr>
        <xdr:cNvPr id="2" name="Picture 1">
          <a:extLst>
            <a:ext uri="{FF2B5EF4-FFF2-40B4-BE49-F238E27FC236}">
              <a16:creationId xmlns:a16="http://schemas.microsoft.com/office/drawing/2014/main" id="{8B133175-B003-4793-B1E8-1F7260F601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124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4</xdr:row>
      <xdr:rowOff>3063</xdr:rowOff>
    </xdr:to>
    <xdr:pic>
      <xdr:nvPicPr>
        <xdr:cNvPr id="2" name="Picture 1">
          <a:extLst>
            <a:ext uri="{FF2B5EF4-FFF2-40B4-BE49-F238E27FC236}">
              <a16:creationId xmlns:a16="http://schemas.microsoft.com/office/drawing/2014/main" id="{497D2A35-9D61-4F0E-B2E0-7DC7BEACF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505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4</xdr:row>
      <xdr:rowOff>3063</xdr:rowOff>
    </xdr:to>
    <xdr:pic>
      <xdr:nvPicPr>
        <xdr:cNvPr id="2" name="Picture 1">
          <a:extLst>
            <a:ext uri="{FF2B5EF4-FFF2-40B4-BE49-F238E27FC236}">
              <a16:creationId xmlns:a16="http://schemas.microsoft.com/office/drawing/2014/main" id="{69750CF8-4695-4B37-B110-9648EC2401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505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453390</xdr:colOff>
      <xdr:row>4</xdr:row>
      <xdr:rowOff>3063</xdr:rowOff>
    </xdr:to>
    <xdr:pic>
      <xdr:nvPicPr>
        <xdr:cNvPr id="2" name="Picture 1">
          <a:extLst>
            <a:ext uri="{FF2B5EF4-FFF2-40B4-BE49-F238E27FC236}">
              <a16:creationId xmlns:a16="http://schemas.microsoft.com/office/drawing/2014/main" id="{94BE4504-057E-416B-A34D-099677ED85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505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453390</xdr:colOff>
      <xdr:row>4</xdr:row>
      <xdr:rowOff>3063</xdr:rowOff>
    </xdr:to>
    <xdr:pic>
      <xdr:nvPicPr>
        <xdr:cNvPr id="2" name="Picture 1">
          <a:extLst>
            <a:ext uri="{FF2B5EF4-FFF2-40B4-BE49-F238E27FC236}">
              <a16:creationId xmlns:a16="http://schemas.microsoft.com/office/drawing/2014/main" id="{2F1F490F-6BC1-47A5-BF28-9B83FFAE05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505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453390</xdr:colOff>
      <xdr:row>4</xdr:row>
      <xdr:rowOff>3063</xdr:rowOff>
    </xdr:to>
    <xdr:pic>
      <xdr:nvPicPr>
        <xdr:cNvPr id="2" name="Picture 1">
          <a:extLst>
            <a:ext uri="{FF2B5EF4-FFF2-40B4-BE49-F238E27FC236}">
              <a16:creationId xmlns:a16="http://schemas.microsoft.com/office/drawing/2014/main" id="{DA6C18D3-0413-40DC-8EB0-D5DDDAB47B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124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453390</xdr:colOff>
      <xdr:row>4</xdr:row>
      <xdr:rowOff>3063</xdr:rowOff>
    </xdr:to>
    <xdr:pic>
      <xdr:nvPicPr>
        <xdr:cNvPr id="2" name="Picture 1">
          <a:extLst>
            <a:ext uri="{FF2B5EF4-FFF2-40B4-BE49-F238E27FC236}">
              <a16:creationId xmlns:a16="http://schemas.microsoft.com/office/drawing/2014/main" id="{31D8F81D-7532-4A41-A37D-0598243707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505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453390</xdr:colOff>
      <xdr:row>4</xdr:row>
      <xdr:rowOff>3063</xdr:rowOff>
    </xdr:to>
    <xdr:pic>
      <xdr:nvPicPr>
        <xdr:cNvPr id="2" name="Picture 1">
          <a:extLst>
            <a:ext uri="{FF2B5EF4-FFF2-40B4-BE49-F238E27FC236}">
              <a16:creationId xmlns:a16="http://schemas.microsoft.com/office/drawing/2014/main" id="{09875E98-AA80-430D-BE6D-9C7D09492B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124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4</xdr:row>
      <xdr:rowOff>3063</xdr:rowOff>
    </xdr:to>
    <xdr:pic>
      <xdr:nvPicPr>
        <xdr:cNvPr id="2" name="Picture 1">
          <a:extLst>
            <a:ext uri="{FF2B5EF4-FFF2-40B4-BE49-F238E27FC236}">
              <a16:creationId xmlns:a16="http://schemas.microsoft.com/office/drawing/2014/main" id="{AB6EA208-F85D-4055-AC32-0395014CA9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505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4</xdr:row>
      <xdr:rowOff>3063</xdr:rowOff>
    </xdr:to>
    <xdr:pic>
      <xdr:nvPicPr>
        <xdr:cNvPr id="2" name="Picture 1">
          <a:extLst>
            <a:ext uri="{FF2B5EF4-FFF2-40B4-BE49-F238E27FC236}">
              <a16:creationId xmlns:a16="http://schemas.microsoft.com/office/drawing/2014/main" id="{5995A72F-990C-4A94-9AB7-D4AA47D1C8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505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4</xdr:row>
      <xdr:rowOff>3063</xdr:rowOff>
    </xdr:to>
    <xdr:pic>
      <xdr:nvPicPr>
        <xdr:cNvPr id="2" name="Picture 1">
          <a:extLst>
            <a:ext uri="{FF2B5EF4-FFF2-40B4-BE49-F238E27FC236}">
              <a16:creationId xmlns:a16="http://schemas.microsoft.com/office/drawing/2014/main" id="{3027AF49-6FF3-41EE-83E5-4447909683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505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582Y5PA2\Proposed%20Funding%20Summary_Feb%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582Y5PA2\2021.05%20%20Funding%20Summar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582Y5PA2\2021.06%20%20Funding%20Summar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582Y5PA2\2021.07%20%20Funding%20Summar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582Y5PA2\2021.08%20%20Funding%20Summar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582Y5PA2\2021.09%20%20Funding%20Summa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582Y5PA2\2021.10%20%20Funding%20Summar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BP0W0I24\2021.11%20%20Funding%20Summar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G75NTZKL\2021.12%20%20Funding%20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ummary from Debt Acctg"/>
      <sheetName val="Debt GL Balances"/>
      <sheetName val="CUSIP Details"/>
      <sheetName val="Proposed Funding Summary 1"/>
      <sheetName val="Proposed Funding Summary"/>
    </sheetNames>
    <sheetDataSet>
      <sheetData sheetId="0" refreshError="1"/>
      <sheetData sheetId="1" refreshError="1">
        <row r="5">
          <cell r="D5" t="str">
            <v>Product
Type</v>
          </cell>
          <cell r="E5" t="str">
            <v>Beginning 
Balance</v>
          </cell>
          <cell r="F5" t="str">
            <v>New Issues
(-)</v>
          </cell>
          <cell r="G5" t="str">
            <v>Re-opens
(-)</v>
          </cell>
          <cell r="H5" t="str">
            <v>Total Issuances
(-)</v>
          </cell>
          <cell r="I5" t="str">
            <v>Repurchases
(+)</v>
          </cell>
          <cell r="J5" t="str">
            <v>Calls/Puts
(+)</v>
          </cell>
          <cell r="K5" t="str">
            <v>Scheduled
Paydown/Maturites
(+)</v>
          </cell>
          <cell r="L5" t="str">
            <v>Non-Cash
Principal
Adjustment</v>
          </cell>
          <cell r="M5" t="str">
            <v>Total Redemptions
(+)</v>
          </cell>
          <cell r="N5" t="str">
            <v>FX Translation
Gain/(Loss)
(+/-)</v>
          </cell>
          <cell r="O5" t="str">
            <v>Re-Classes
(+/-)</v>
          </cell>
          <cell r="P5" t="str">
            <v>Report Calculated
Ending Balance</v>
          </cell>
          <cell r="Q5" t="str">
            <v>EDI
Ending Balance</v>
          </cell>
          <cell r="R5" t="str">
            <v>Difference</v>
          </cell>
          <cell r="S5" t="str">
            <v>MOM Change</v>
          </cell>
        </row>
        <row r="6">
          <cell r="D6" t="str">
            <v>Benchmark Repo</v>
          </cell>
          <cell r="E6">
            <v>0</v>
          </cell>
          <cell r="F6" t="str">
            <v>0.00</v>
          </cell>
          <cell r="G6" t="str">
            <v>0.00</v>
          </cell>
          <cell r="H6" t="str">
            <v>0.00</v>
          </cell>
          <cell r="I6" t="str">
            <v>0.00</v>
          </cell>
          <cell r="J6" t="str">
            <v>0.00</v>
          </cell>
          <cell r="K6" t="str">
            <v>0.00</v>
          </cell>
          <cell r="L6" t="str">
            <v>0.00</v>
          </cell>
          <cell r="M6" t="str">
            <v>0.00</v>
          </cell>
          <cell r="N6" t="str">
            <v>0.00</v>
          </cell>
          <cell r="O6">
            <v>0</v>
          </cell>
          <cell r="P6">
            <v>0</v>
          </cell>
          <cell r="Q6">
            <v>0</v>
          </cell>
          <cell r="R6">
            <v>0</v>
          </cell>
          <cell r="S6">
            <v>0</v>
          </cell>
        </row>
        <row r="7">
          <cell r="D7" t="str">
            <v>Contingency Repo</v>
          </cell>
          <cell r="E7">
            <v>0</v>
          </cell>
          <cell r="F7" t="str">
            <v>0.00</v>
          </cell>
          <cell r="G7" t="str">
            <v>0.00</v>
          </cell>
          <cell r="H7" t="str">
            <v>0.00</v>
          </cell>
          <cell r="I7" t="str">
            <v>0.00</v>
          </cell>
          <cell r="J7" t="str">
            <v>0.00</v>
          </cell>
          <cell r="K7" t="str">
            <v>0.00</v>
          </cell>
          <cell r="L7" t="str">
            <v>0.00</v>
          </cell>
          <cell r="M7" t="str">
            <v>0.00</v>
          </cell>
          <cell r="N7" t="str">
            <v>0.00</v>
          </cell>
          <cell r="O7">
            <v>0</v>
          </cell>
          <cell r="P7">
            <v>0</v>
          </cell>
          <cell r="Q7">
            <v>0</v>
          </cell>
          <cell r="R7">
            <v>0</v>
          </cell>
          <cell r="S7">
            <v>0</v>
          </cell>
        </row>
        <row r="8">
          <cell r="D8" t="str">
            <v>DVP Repo</v>
          </cell>
          <cell r="E8">
            <v>0</v>
          </cell>
          <cell r="F8">
            <v>-739200000</v>
          </cell>
          <cell r="G8" t="str">
            <v>0.00</v>
          </cell>
          <cell r="H8">
            <v>-739200000</v>
          </cell>
          <cell r="I8" t="str">
            <v>0.00</v>
          </cell>
          <cell r="J8" t="str">
            <v>0.00</v>
          </cell>
          <cell r="K8">
            <v>739200000</v>
          </cell>
          <cell r="L8" t="str">
            <v>0.00</v>
          </cell>
          <cell r="M8">
            <v>739200000</v>
          </cell>
          <cell r="N8" t="str">
            <v>0.00</v>
          </cell>
          <cell r="O8">
            <v>0</v>
          </cell>
          <cell r="P8">
            <v>0</v>
          </cell>
          <cell r="Q8">
            <v>0</v>
          </cell>
          <cell r="R8">
            <v>0</v>
          </cell>
          <cell r="S8">
            <v>0</v>
          </cell>
        </row>
        <row r="9">
          <cell r="D9" t="str">
            <v>Fed Funds Purchased</v>
          </cell>
          <cell r="E9">
            <v>0</v>
          </cell>
          <cell r="F9" t="str">
            <v>0.00</v>
          </cell>
          <cell r="G9" t="str">
            <v>0.00</v>
          </cell>
          <cell r="H9" t="str">
            <v>0.00</v>
          </cell>
          <cell r="I9" t="str">
            <v>0.00</v>
          </cell>
          <cell r="J9" t="str">
            <v>0.00</v>
          </cell>
          <cell r="K9" t="str">
            <v>0.00</v>
          </cell>
          <cell r="L9" t="str">
            <v>0.00</v>
          </cell>
          <cell r="M9" t="str">
            <v>0.00</v>
          </cell>
          <cell r="N9" t="str">
            <v>0.00</v>
          </cell>
          <cell r="O9">
            <v>0</v>
          </cell>
          <cell r="P9">
            <v>0</v>
          </cell>
          <cell r="Q9">
            <v>0</v>
          </cell>
          <cell r="R9">
            <v>0</v>
          </cell>
          <cell r="S9">
            <v>0</v>
          </cell>
        </row>
        <row r="10">
          <cell r="E10">
            <v>0</v>
          </cell>
          <cell r="F10">
            <v>-739200000</v>
          </cell>
          <cell r="G10" t="str">
            <v>0.00</v>
          </cell>
          <cell r="H10">
            <v>-739200000</v>
          </cell>
          <cell r="I10" t="str">
            <v>0.00</v>
          </cell>
          <cell r="J10" t="str">
            <v>0.00</v>
          </cell>
          <cell r="K10">
            <v>739200000</v>
          </cell>
          <cell r="L10" t="str">
            <v>0.00</v>
          </cell>
          <cell r="M10">
            <v>739200000</v>
          </cell>
          <cell r="N10" t="str">
            <v>0.00</v>
          </cell>
          <cell r="O10">
            <v>0</v>
          </cell>
          <cell r="P10">
            <v>0</v>
          </cell>
          <cell r="Q10">
            <v>0</v>
          </cell>
          <cell r="R10">
            <v>0</v>
          </cell>
          <cell r="S10">
            <v>0</v>
          </cell>
        </row>
        <row r="11">
          <cell r="D11" t="str">
            <v>ST-Debt</v>
          </cell>
          <cell r="E11">
            <v>-3793867000</v>
          </cell>
          <cell r="F11" t="str">
            <v>0.00</v>
          </cell>
          <cell r="G11" t="str">
            <v>0.00</v>
          </cell>
          <cell r="H11" t="str">
            <v>0.00</v>
          </cell>
          <cell r="I11" t="str">
            <v>0.00</v>
          </cell>
          <cell r="J11" t="str">
            <v>0.00</v>
          </cell>
          <cell r="K11">
            <v>769000000</v>
          </cell>
          <cell r="L11" t="str">
            <v>0.00</v>
          </cell>
          <cell r="M11">
            <v>769000000</v>
          </cell>
          <cell r="N11" t="str">
            <v>0.00</v>
          </cell>
          <cell r="O11">
            <v>0</v>
          </cell>
          <cell r="P11">
            <v>-3024867000</v>
          </cell>
          <cell r="Q11">
            <v>-3024867000</v>
          </cell>
          <cell r="R11">
            <v>0</v>
          </cell>
          <cell r="S11">
            <v>-769000000</v>
          </cell>
        </row>
        <row r="12">
          <cell r="D12" t="str">
            <v>ST - Other - Non-Callable - Floating</v>
          </cell>
          <cell r="E12">
            <v>-7445000000</v>
          </cell>
          <cell r="F12" t="str">
            <v>0.00</v>
          </cell>
          <cell r="G12" t="str">
            <v>0.00</v>
          </cell>
          <cell r="H12" t="str">
            <v>0.00</v>
          </cell>
          <cell r="I12" t="str">
            <v>0.00</v>
          </cell>
          <cell r="J12" t="str">
            <v>0.00</v>
          </cell>
          <cell r="K12" t="str">
            <v>0.00</v>
          </cell>
          <cell r="L12" t="str">
            <v>0.00</v>
          </cell>
          <cell r="M12" t="str">
            <v>0.00</v>
          </cell>
          <cell r="N12" t="str">
            <v>0.00</v>
          </cell>
          <cell r="O12">
            <v>0</v>
          </cell>
          <cell r="P12">
            <v>-7445000000</v>
          </cell>
          <cell r="Q12">
            <v>-7445000000</v>
          </cell>
          <cell r="R12">
            <v>0</v>
          </cell>
          <cell r="S12">
            <v>0</v>
          </cell>
        </row>
        <row r="13">
          <cell r="E13">
            <v>-11238867000</v>
          </cell>
          <cell r="F13" t="str">
            <v>0.00</v>
          </cell>
          <cell r="G13" t="str">
            <v>0.00</v>
          </cell>
          <cell r="H13" t="str">
            <v>0.00</v>
          </cell>
          <cell r="I13" t="str">
            <v>0.00</v>
          </cell>
          <cell r="J13" t="str">
            <v>0.00</v>
          </cell>
          <cell r="K13">
            <v>769000000</v>
          </cell>
          <cell r="L13" t="str">
            <v>0.00</v>
          </cell>
          <cell r="M13">
            <v>769000000</v>
          </cell>
          <cell r="N13" t="str">
            <v>0.00</v>
          </cell>
          <cell r="O13">
            <v>0</v>
          </cell>
          <cell r="P13">
            <v>-10469867000</v>
          </cell>
          <cell r="Q13">
            <v>-10469867000</v>
          </cell>
          <cell r="R13">
            <v>0</v>
          </cell>
          <cell r="S13">
            <v>-769000000</v>
          </cell>
        </row>
        <row r="14">
          <cell r="D14" t="str">
            <v>Benchmark Notes &amp; Bonds</v>
          </cell>
          <cell r="E14">
            <v>-106929149000</v>
          </cell>
          <cell r="F14" t="str">
            <v>0.00</v>
          </cell>
          <cell r="G14" t="str">
            <v>0.00</v>
          </cell>
          <cell r="H14" t="str">
            <v>0.00</v>
          </cell>
          <cell r="I14" t="str">
            <v>0.00</v>
          </cell>
          <cell r="J14" t="str">
            <v>0.00</v>
          </cell>
          <cell r="K14">
            <v>2978090000</v>
          </cell>
          <cell r="L14" t="str">
            <v>0.00</v>
          </cell>
          <cell r="M14">
            <v>2978090000</v>
          </cell>
          <cell r="N14" t="str">
            <v>0.00</v>
          </cell>
          <cell r="O14">
            <v>0</v>
          </cell>
          <cell r="P14">
            <v>-103951059000</v>
          </cell>
          <cell r="Q14">
            <v>-103951059000</v>
          </cell>
          <cell r="R14">
            <v>0</v>
          </cell>
          <cell r="S14">
            <v>-2978090000</v>
          </cell>
        </row>
        <row r="15">
          <cell r="D15" t="str">
            <v>Callable Fixed Rate MTN</v>
          </cell>
          <cell r="E15">
            <v>-46404790000</v>
          </cell>
          <cell r="F15" t="str">
            <v>0.00</v>
          </cell>
          <cell r="G15" t="str">
            <v>0.00</v>
          </cell>
          <cell r="H15" t="str">
            <v>0.00</v>
          </cell>
          <cell r="I15" t="str">
            <v>0.00</v>
          </cell>
          <cell r="J15">
            <v>555000000</v>
          </cell>
          <cell r="K15" t="str">
            <v>0.00</v>
          </cell>
          <cell r="L15" t="str">
            <v>0.00</v>
          </cell>
          <cell r="M15">
            <v>555000000</v>
          </cell>
          <cell r="N15" t="str">
            <v>0.00</v>
          </cell>
          <cell r="O15">
            <v>0</v>
          </cell>
          <cell r="P15">
            <v>-45849790000</v>
          </cell>
          <cell r="Q15">
            <v>-45849790000</v>
          </cell>
          <cell r="R15">
            <v>0</v>
          </cell>
          <cell r="S15">
            <v>-555000000</v>
          </cell>
        </row>
        <row r="16">
          <cell r="D16" t="str">
            <v>Callable Floating Rate MTN</v>
          </cell>
          <cell r="E16">
            <v>0</v>
          </cell>
          <cell r="F16" t="str">
            <v>0.00</v>
          </cell>
          <cell r="G16" t="str">
            <v>0.00</v>
          </cell>
          <cell r="H16" t="str">
            <v>0.00</v>
          </cell>
          <cell r="I16" t="str">
            <v>0.00</v>
          </cell>
          <cell r="J16" t="str">
            <v>0.00</v>
          </cell>
          <cell r="K16" t="str">
            <v>0.00</v>
          </cell>
          <cell r="L16" t="str">
            <v>0.00</v>
          </cell>
          <cell r="M16" t="str">
            <v>0.00</v>
          </cell>
          <cell r="N16" t="str">
            <v>0.00</v>
          </cell>
          <cell r="O16">
            <v>0</v>
          </cell>
          <cell r="P16">
            <v>0</v>
          </cell>
          <cell r="Q16">
            <v>0</v>
          </cell>
          <cell r="R16">
            <v>0</v>
          </cell>
          <cell r="S16">
            <v>0</v>
          </cell>
        </row>
        <row r="17">
          <cell r="D17" t="str">
            <v>Inv Agrmnts</v>
          </cell>
          <cell r="E17">
            <v>-26505.85</v>
          </cell>
          <cell r="F17">
            <v>0</v>
          </cell>
          <cell r="G17" t="str">
            <v>0.00</v>
          </cell>
          <cell r="H17">
            <v>0</v>
          </cell>
          <cell r="I17" t="str">
            <v>0.00</v>
          </cell>
          <cell r="J17" t="str">
            <v>0.00</v>
          </cell>
          <cell r="K17">
            <v>0</v>
          </cell>
          <cell r="L17" t="str">
            <v>0.00</v>
          </cell>
          <cell r="M17">
            <v>0</v>
          </cell>
          <cell r="N17" t="str">
            <v>0.00</v>
          </cell>
          <cell r="O17" t="str">
            <v>0.00</v>
          </cell>
          <cell r="P17">
            <v>-26505.85</v>
          </cell>
          <cell r="Q17">
            <v>-26505.85</v>
          </cell>
          <cell r="R17">
            <v>0</v>
          </cell>
          <cell r="S17">
            <v>0</v>
          </cell>
        </row>
        <row r="18">
          <cell r="D18" t="str">
            <v>LT - CAS</v>
          </cell>
          <cell r="E18">
            <v>-3183021655.2199998</v>
          </cell>
          <cell r="F18" t="str">
            <v>0.00</v>
          </cell>
          <cell r="G18" t="str">
            <v>0.00</v>
          </cell>
          <cell r="H18" t="str">
            <v>0.00</v>
          </cell>
          <cell r="I18" t="str">
            <v>0.00</v>
          </cell>
          <cell r="J18" t="str">
            <v>0.00</v>
          </cell>
          <cell r="K18">
            <v>97182169.069999993</v>
          </cell>
          <cell r="L18" t="str">
            <v>0.00</v>
          </cell>
          <cell r="M18">
            <v>97182169.069999993</v>
          </cell>
          <cell r="N18" t="str">
            <v>0.00</v>
          </cell>
          <cell r="O18">
            <v>0</v>
          </cell>
          <cell r="P18">
            <v>-3085839486.1500001</v>
          </cell>
          <cell r="Q18">
            <v>-3085839486.1500001</v>
          </cell>
          <cell r="R18">
            <v>0</v>
          </cell>
          <cell r="S18">
            <v>-97182169.070000201</v>
          </cell>
        </row>
        <row r="19">
          <cell r="D19" t="str">
            <v>LT - CAS</v>
          </cell>
          <cell r="E19">
            <v>-11695593247.360001</v>
          </cell>
          <cell r="F19" t="str">
            <v>0.00</v>
          </cell>
          <cell r="G19" t="str">
            <v>0.00</v>
          </cell>
          <cell r="H19" t="str">
            <v>0.00</v>
          </cell>
          <cell r="I19" t="str">
            <v>0.00</v>
          </cell>
          <cell r="J19" t="str">
            <v>0.00</v>
          </cell>
          <cell r="K19">
            <v>29620741.050000001</v>
          </cell>
          <cell r="L19">
            <v>270767.65999999997</v>
          </cell>
          <cell r="M19">
            <v>29891508.710000001</v>
          </cell>
          <cell r="N19" t="str">
            <v>0.00</v>
          </cell>
          <cell r="O19">
            <v>0</v>
          </cell>
          <cell r="P19">
            <v>-11665701738.65</v>
          </cell>
          <cell r="Q19">
            <v>-11665701738.65</v>
          </cell>
          <cell r="R19">
            <v>0</v>
          </cell>
          <cell r="S19">
            <v>-29891508.710002899</v>
          </cell>
        </row>
        <row r="20">
          <cell r="D20" t="str">
            <v>LT - FX Debt</v>
          </cell>
          <cell r="E20">
            <v>-477050737.55000001</v>
          </cell>
          <cell r="F20" t="str">
            <v>0.00</v>
          </cell>
          <cell r="G20" t="str">
            <v>0.00</v>
          </cell>
          <cell r="H20" t="str">
            <v>0.00</v>
          </cell>
          <cell r="I20" t="str">
            <v>0.00</v>
          </cell>
          <cell r="J20" t="str">
            <v>0.00</v>
          </cell>
          <cell r="K20" t="str">
            <v>0.00</v>
          </cell>
          <cell r="L20" t="str">
            <v>0.00</v>
          </cell>
          <cell r="M20" t="str">
            <v>0.00</v>
          </cell>
          <cell r="N20">
            <v>-7830201.8099999996</v>
          </cell>
          <cell r="O20">
            <v>0</v>
          </cell>
          <cell r="P20">
            <v>-484880939.36000001</v>
          </cell>
          <cell r="Q20">
            <v>-484880939.36000001</v>
          </cell>
          <cell r="R20">
            <v>0</v>
          </cell>
          <cell r="S20">
            <v>7830201.8100000601</v>
          </cell>
        </row>
        <row r="21">
          <cell r="D21" t="str">
            <v>Non-Callable Fixed Rate MTN</v>
          </cell>
          <cell r="E21">
            <v>-9631440192.75</v>
          </cell>
          <cell r="F21" t="str">
            <v>0.00</v>
          </cell>
          <cell r="G21" t="str">
            <v>0.00</v>
          </cell>
          <cell r="H21" t="str">
            <v>0.00</v>
          </cell>
          <cell r="I21" t="str">
            <v>0.00</v>
          </cell>
          <cell r="J21" t="str">
            <v>0.00</v>
          </cell>
          <cell r="K21">
            <v>95000000</v>
          </cell>
          <cell r="L21" t="str">
            <v>0.00</v>
          </cell>
          <cell r="M21">
            <v>95000000</v>
          </cell>
          <cell r="N21" t="str">
            <v>0.00</v>
          </cell>
          <cell r="O21">
            <v>0</v>
          </cell>
          <cell r="P21">
            <v>-9536440192.75</v>
          </cell>
          <cell r="Q21">
            <v>-9536440192.75</v>
          </cell>
          <cell r="R21">
            <v>0</v>
          </cell>
          <cell r="S21">
            <v>-95000000</v>
          </cell>
        </row>
        <row r="22">
          <cell r="D22" t="str">
            <v>Non-Callable Floating Rate MTN</v>
          </cell>
          <cell r="E22">
            <v>-250000000</v>
          </cell>
          <cell r="F22" t="str">
            <v>0.00</v>
          </cell>
          <cell r="G22" t="str">
            <v>0.00</v>
          </cell>
          <cell r="H22" t="str">
            <v>0.00</v>
          </cell>
          <cell r="I22" t="str">
            <v>0.00</v>
          </cell>
          <cell r="J22" t="str">
            <v>0.00</v>
          </cell>
          <cell r="K22" t="str">
            <v>0.00</v>
          </cell>
          <cell r="L22" t="str">
            <v>0.00</v>
          </cell>
          <cell r="M22" t="str">
            <v>0.00</v>
          </cell>
          <cell r="N22" t="str">
            <v>0.00</v>
          </cell>
          <cell r="O22">
            <v>0</v>
          </cell>
          <cell r="P22">
            <v>-250000000</v>
          </cell>
          <cell r="Q22">
            <v>-250000000</v>
          </cell>
          <cell r="R22">
            <v>0</v>
          </cell>
          <cell r="S22">
            <v>0</v>
          </cell>
        </row>
        <row r="23">
          <cell r="D23" t="str">
            <v>Non-Callable Floating Rate MTN</v>
          </cell>
          <cell r="E23">
            <v>-98109255000</v>
          </cell>
          <cell r="F23" t="str">
            <v>0.00</v>
          </cell>
          <cell r="G23" t="str">
            <v>0.00</v>
          </cell>
          <cell r="H23" t="str">
            <v>0.00</v>
          </cell>
          <cell r="I23" t="str">
            <v>0.00</v>
          </cell>
          <cell r="J23" t="str">
            <v>0.00</v>
          </cell>
          <cell r="K23" t="str">
            <v>0.00</v>
          </cell>
          <cell r="L23" t="str">
            <v>0.00</v>
          </cell>
          <cell r="M23" t="str">
            <v>0.00</v>
          </cell>
          <cell r="N23" t="str">
            <v>0.00</v>
          </cell>
          <cell r="O23">
            <v>0</v>
          </cell>
          <cell r="P23">
            <v>-98109255000</v>
          </cell>
          <cell r="Q23">
            <v>-98109255000</v>
          </cell>
          <cell r="R23">
            <v>0</v>
          </cell>
          <cell r="S23">
            <v>0</v>
          </cell>
        </row>
        <row r="24">
          <cell r="E24">
            <v>-276680326338.72998</v>
          </cell>
          <cell r="F24">
            <v>0</v>
          </cell>
          <cell r="G24" t="str">
            <v>0.00</v>
          </cell>
          <cell r="H24">
            <v>0</v>
          </cell>
          <cell r="I24" t="str">
            <v>0.00</v>
          </cell>
          <cell r="J24">
            <v>555000000</v>
          </cell>
          <cell r="K24">
            <v>3199892910.1199999</v>
          </cell>
          <cell r="L24">
            <v>270767.65999999997</v>
          </cell>
          <cell r="M24">
            <v>3755163677.7800002</v>
          </cell>
          <cell r="N24">
            <v>-7830201.8099999996</v>
          </cell>
          <cell r="O24">
            <v>0</v>
          </cell>
          <cell r="P24">
            <v>-272932992862.76001</v>
          </cell>
          <cell r="Q24">
            <v>-272932992862.76001</v>
          </cell>
          <cell r="R24">
            <v>0</v>
          </cell>
          <cell r="S24">
            <v>-3747333475.97015</v>
          </cell>
        </row>
        <row r="25">
          <cell r="E25">
            <v>-287919193338.72998</v>
          </cell>
          <cell r="F25">
            <v>0</v>
          </cell>
          <cell r="G25" t="str">
            <v>0.00</v>
          </cell>
          <cell r="H25">
            <v>0</v>
          </cell>
          <cell r="I25" t="str">
            <v>0.00</v>
          </cell>
          <cell r="J25">
            <v>555000000</v>
          </cell>
          <cell r="K25">
            <v>3968892910.1199999</v>
          </cell>
          <cell r="L25">
            <v>270767.65999999997</v>
          </cell>
          <cell r="M25">
            <v>4524163677.7799997</v>
          </cell>
          <cell r="N25">
            <v>-7830201.8099999996</v>
          </cell>
          <cell r="O25">
            <v>0</v>
          </cell>
          <cell r="P25">
            <v>-283402859862.76001</v>
          </cell>
          <cell r="Q25">
            <v>-283402859862.76001</v>
          </cell>
          <cell r="R25">
            <v>0</v>
          </cell>
          <cell r="S25">
            <v>-4516333475.9699697</v>
          </cell>
        </row>
        <row r="26">
          <cell r="E26">
            <v>-287919193338.72998</v>
          </cell>
          <cell r="F26">
            <v>-739200000</v>
          </cell>
          <cell r="G26" t="str">
            <v>0.00</v>
          </cell>
          <cell r="H26">
            <v>-739200000</v>
          </cell>
          <cell r="I26" t="str">
            <v>0.00</v>
          </cell>
          <cell r="J26">
            <v>555000000</v>
          </cell>
          <cell r="K26">
            <v>4708092910.1199999</v>
          </cell>
          <cell r="L26">
            <v>270767.65999999997</v>
          </cell>
          <cell r="M26">
            <v>5263363677.7799997</v>
          </cell>
          <cell r="N26">
            <v>-7830201.8099999996</v>
          </cell>
          <cell r="O26">
            <v>0</v>
          </cell>
          <cell r="P26">
            <v>-283402859862.76001</v>
          </cell>
          <cell r="Q26">
            <v>-283402859862.76001</v>
          </cell>
          <cell r="R26">
            <v>0</v>
          </cell>
          <cell r="S26">
            <v>-4516333475.97015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GL Balances"/>
      <sheetName val=" Funding Summary"/>
      <sheetName val="Cover Page"/>
      <sheetName val="Summary"/>
      <sheetName val="CUSIP Details"/>
    </sheetNames>
    <sheetDataSet>
      <sheetData sheetId="0"/>
      <sheetData sheetId="1"/>
      <sheetData sheetId="2"/>
      <sheetData sheetId="3">
        <row r="5">
          <cell r="D5" t="str">
            <v>Product
Type</v>
          </cell>
          <cell r="E5" t="str">
            <v>Beginning 
Balance</v>
          </cell>
          <cell r="F5" t="str">
            <v>New Issues
(-)</v>
          </cell>
          <cell r="G5" t="str">
            <v>Re-opens
(-)</v>
          </cell>
          <cell r="H5" t="str">
            <v>Total Issuances
(-)</v>
          </cell>
          <cell r="I5" t="str">
            <v>Repurchases
(+)</v>
          </cell>
          <cell r="J5" t="str">
            <v>Calls/Puts
(+)</v>
          </cell>
          <cell r="K5" t="str">
            <v>Scheduled
Paydown/Maturites
(+)</v>
          </cell>
          <cell r="L5" t="str">
            <v>Non-Cash
Principal
Adjustment</v>
          </cell>
          <cell r="M5" t="str">
            <v>Total Redemptions
(+)</v>
          </cell>
          <cell r="N5" t="str">
            <v>FX Translation
Gain/(Loss)
(+/-)</v>
          </cell>
          <cell r="O5" t="str">
            <v>Re-Classes
(+/-)</v>
          </cell>
          <cell r="P5" t="str">
            <v>Report Calculated
Ending Balance</v>
          </cell>
          <cell r="Q5" t="str">
            <v>EDI
Ending Balance</v>
          </cell>
          <cell r="R5" t="str">
            <v>Difference</v>
          </cell>
          <cell r="S5" t="str">
            <v>MOM Change</v>
          </cell>
        </row>
        <row r="6">
          <cell r="D6" t="str">
            <v>Benchmark Repo</v>
          </cell>
          <cell r="E6">
            <v>0</v>
          </cell>
          <cell r="F6" t="str">
            <v>0.00</v>
          </cell>
          <cell r="G6" t="str">
            <v>0.00</v>
          </cell>
          <cell r="H6" t="str">
            <v>0.00</v>
          </cell>
          <cell r="I6" t="str">
            <v>0.00</v>
          </cell>
          <cell r="J6" t="str">
            <v>0.00</v>
          </cell>
          <cell r="K6" t="str">
            <v>0.00</v>
          </cell>
          <cell r="L6" t="str">
            <v>0.00</v>
          </cell>
          <cell r="M6" t="str">
            <v>0.00</v>
          </cell>
          <cell r="N6" t="str">
            <v>0.00</v>
          </cell>
          <cell r="O6">
            <v>0</v>
          </cell>
          <cell r="P6">
            <v>0</v>
          </cell>
          <cell r="Q6">
            <v>0</v>
          </cell>
          <cell r="R6">
            <v>0</v>
          </cell>
          <cell r="S6">
            <v>0</v>
          </cell>
        </row>
        <row r="7">
          <cell r="D7" t="str">
            <v>Contingency Repo</v>
          </cell>
          <cell r="E7">
            <v>0</v>
          </cell>
          <cell r="F7" t="str">
            <v>0.00</v>
          </cell>
          <cell r="G7" t="str">
            <v>0.00</v>
          </cell>
          <cell r="H7" t="str">
            <v>0.00</v>
          </cell>
          <cell r="I7" t="str">
            <v>0.00</v>
          </cell>
          <cell r="J7" t="str">
            <v>0.00</v>
          </cell>
          <cell r="K7" t="str">
            <v>0.00</v>
          </cell>
          <cell r="L7" t="str">
            <v>0.00</v>
          </cell>
          <cell r="M7" t="str">
            <v>0.00</v>
          </cell>
          <cell r="N7" t="str">
            <v>0.00</v>
          </cell>
          <cell r="O7">
            <v>0</v>
          </cell>
          <cell r="P7">
            <v>0</v>
          </cell>
          <cell r="Q7">
            <v>0</v>
          </cell>
          <cell r="R7">
            <v>0</v>
          </cell>
          <cell r="S7">
            <v>0</v>
          </cell>
        </row>
        <row r="8">
          <cell r="D8" t="str">
            <v>DVP Repo</v>
          </cell>
          <cell r="E8">
            <v>0</v>
          </cell>
          <cell r="F8">
            <v>-2898087500</v>
          </cell>
          <cell r="G8" t="str">
            <v>0.00</v>
          </cell>
          <cell r="H8">
            <v>-2898087500</v>
          </cell>
          <cell r="I8" t="str">
            <v>0.00</v>
          </cell>
          <cell r="J8" t="str">
            <v>0.00</v>
          </cell>
          <cell r="K8">
            <v>708400000</v>
          </cell>
          <cell r="L8" t="str">
            <v>0.00</v>
          </cell>
          <cell r="M8">
            <v>708400000</v>
          </cell>
          <cell r="N8" t="str">
            <v>0.00</v>
          </cell>
          <cell r="O8">
            <v>0</v>
          </cell>
          <cell r="P8">
            <v>-2189687500</v>
          </cell>
          <cell r="Q8">
            <v>-2189687500</v>
          </cell>
          <cell r="R8">
            <v>0</v>
          </cell>
          <cell r="S8">
            <v>2189687500</v>
          </cell>
        </row>
        <row r="9">
          <cell r="D9" t="str">
            <v>Fed Funds Purchased</v>
          </cell>
          <cell r="E9">
            <v>0</v>
          </cell>
          <cell r="F9" t="str">
            <v>0.00</v>
          </cell>
          <cell r="G9" t="str">
            <v>0.00</v>
          </cell>
          <cell r="H9" t="str">
            <v>0.00</v>
          </cell>
          <cell r="I9" t="str">
            <v>0.00</v>
          </cell>
          <cell r="J9" t="str">
            <v>0.00</v>
          </cell>
          <cell r="K9" t="str">
            <v>0.00</v>
          </cell>
          <cell r="L9" t="str">
            <v>0.00</v>
          </cell>
          <cell r="M9" t="str">
            <v>0.00</v>
          </cell>
          <cell r="N9" t="str">
            <v>0.00</v>
          </cell>
          <cell r="O9">
            <v>0</v>
          </cell>
          <cell r="P9">
            <v>0</v>
          </cell>
          <cell r="Q9">
            <v>0</v>
          </cell>
          <cell r="R9">
            <v>0</v>
          </cell>
          <cell r="S9">
            <v>0</v>
          </cell>
        </row>
        <row r="10">
          <cell r="E10">
            <v>0</v>
          </cell>
          <cell r="F10">
            <v>-2898087500</v>
          </cell>
          <cell r="G10" t="str">
            <v>0.00</v>
          </cell>
          <cell r="H10">
            <v>-2898087500</v>
          </cell>
          <cell r="I10" t="str">
            <v>0.00</v>
          </cell>
          <cell r="J10" t="str">
            <v>0.00</v>
          </cell>
          <cell r="K10">
            <v>708400000</v>
          </cell>
          <cell r="L10" t="str">
            <v>0.00</v>
          </cell>
          <cell r="M10">
            <v>708400000</v>
          </cell>
          <cell r="N10" t="str">
            <v>0.00</v>
          </cell>
          <cell r="O10">
            <v>0</v>
          </cell>
          <cell r="P10">
            <v>-2189687500</v>
          </cell>
          <cell r="Q10">
            <v>-2189687500</v>
          </cell>
          <cell r="R10">
            <v>0</v>
          </cell>
          <cell r="S10">
            <v>2189687500</v>
          </cell>
        </row>
        <row r="11">
          <cell r="D11" t="str">
            <v>ST-Debt</v>
          </cell>
          <cell r="E11">
            <v>-3072659000</v>
          </cell>
          <cell r="F11">
            <v>-625000000</v>
          </cell>
          <cell r="G11" t="str">
            <v>0.00</v>
          </cell>
          <cell r="H11">
            <v>-625000000</v>
          </cell>
          <cell r="I11" t="str">
            <v>0.00</v>
          </cell>
          <cell r="J11" t="str">
            <v>0.00</v>
          </cell>
          <cell r="K11">
            <v>310379000</v>
          </cell>
          <cell r="L11" t="str">
            <v>0.00</v>
          </cell>
          <cell r="M11">
            <v>310379000</v>
          </cell>
          <cell r="N11" t="str">
            <v>0.00</v>
          </cell>
          <cell r="O11">
            <v>0</v>
          </cell>
          <cell r="P11">
            <v>-3387280000</v>
          </cell>
          <cell r="Q11">
            <v>-3387280000</v>
          </cell>
          <cell r="R11">
            <v>0</v>
          </cell>
          <cell r="S11">
            <v>314621000</v>
          </cell>
        </row>
        <row r="12">
          <cell r="D12" t="str">
            <v>ST - Other - Non-Callable - Floating</v>
          </cell>
          <cell r="E12">
            <v>0</v>
          </cell>
          <cell r="F12" t="str">
            <v>0.00</v>
          </cell>
          <cell r="G12" t="str">
            <v>0.00</v>
          </cell>
          <cell r="H12" t="str">
            <v>0.00</v>
          </cell>
          <cell r="I12" t="str">
            <v>0.00</v>
          </cell>
          <cell r="J12" t="str">
            <v>0.00</v>
          </cell>
          <cell r="K12" t="str">
            <v>0.00</v>
          </cell>
          <cell r="L12" t="str">
            <v>0.00</v>
          </cell>
          <cell r="M12" t="str">
            <v>0.00</v>
          </cell>
          <cell r="N12" t="str">
            <v>0.00</v>
          </cell>
          <cell r="O12">
            <v>0</v>
          </cell>
          <cell r="P12">
            <v>0</v>
          </cell>
          <cell r="Q12">
            <v>0</v>
          </cell>
          <cell r="R12">
            <v>0</v>
          </cell>
          <cell r="S12">
            <v>0</v>
          </cell>
        </row>
        <row r="13">
          <cell r="E13">
            <v>-3072659000</v>
          </cell>
          <cell r="F13">
            <v>-625000000</v>
          </cell>
          <cell r="G13" t="str">
            <v>0.00</v>
          </cell>
          <cell r="H13">
            <v>-625000000</v>
          </cell>
          <cell r="I13" t="str">
            <v>0.00</v>
          </cell>
          <cell r="J13" t="str">
            <v>0.00</v>
          </cell>
          <cell r="K13">
            <v>310379000</v>
          </cell>
          <cell r="L13" t="str">
            <v>0.00</v>
          </cell>
          <cell r="M13">
            <v>310379000</v>
          </cell>
          <cell r="N13" t="str">
            <v>0.00</v>
          </cell>
          <cell r="O13">
            <v>0</v>
          </cell>
          <cell r="P13">
            <v>-3387280000</v>
          </cell>
          <cell r="Q13">
            <v>-3387280000</v>
          </cell>
          <cell r="R13">
            <v>0</v>
          </cell>
          <cell r="S13">
            <v>314621000</v>
          </cell>
        </row>
        <row r="14">
          <cell r="D14" t="str">
            <v>Benchmark Notes &amp; Bonds</v>
          </cell>
          <cell r="E14">
            <v>-102138059000</v>
          </cell>
          <cell r="F14" t="str">
            <v>0.00</v>
          </cell>
          <cell r="G14" t="str">
            <v>0.00</v>
          </cell>
          <cell r="H14" t="str">
            <v>0.00</v>
          </cell>
          <cell r="I14" t="str">
            <v>0.00</v>
          </cell>
          <cell r="J14" t="str">
            <v>0.00</v>
          </cell>
          <cell r="K14">
            <v>2500000000</v>
          </cell>
          <cell r="L14" t="str">
            <v>0.00</v>
          </cell>
          <cell r="M14">
            <v>2500000000</v>
          </cell>
          <cell r="N14" t="str">
            <v>0.00</v>
          </cell>
          <cell r="O14">
            <v>0</v>
          </cell>
          <cell r="P14">
            <v>-99638059000</v>
          </cell>
          <cell r="Q14">
            <v>-99638059000</v>
          </cell>
          <cell r="R14">
            <v>0</v>
          </cell>
          <cell r="S14">
            <v>-2500000000</v>
          </cell>
        </row>
        <row r="15">
          <cell r="D15" t="str">
            <v>Callable Fixed Rate MTN</v>
          </cell>
          <cell r="E15">
            <v>-45264790000</v>
          </cell>
          <cell r="F15" t="str">
            <v>0.00</v>
          </cell>
          <cell r="G15" t="str">
            <v>0.00</v>
          </cell>
          <cell r="H15" t="str">
            <v>0.00</v>
          </cell>
          <cell r="I15" t="str">
            <v>0.00</v>
          </cell>
          <cell r="J15">
            <v>630000000</v>
          </cell>
          <cell r="K15" t="str">
            <v>0.00</v>
          </cell>
          <cell r="L15" t="str">
            <v>0.00</v>
          </cell>
          <cell r="M15">
            <v>630000000</v>
          </cell>
          <cell r="N15" t="str">
            <v>0.00</v>
          </cell>
          <cell r="O15">
            <v>0</v>
          </cell>
          <cell r="P15">
            <v>-44634790000</v>
          </cell>
          <cell r="Q15">
            <v>-44634790000</v>
          </cell>
          <cell r="R15">
            <v>0</v>
          </cell>
          <cell r="S15">
            <v>-630000000</v>
          </cell>
        </row>
        <row r="16">
          <cell r="D16" t="str">
            <v>Callable Floating Rate MTN</v>
          </cell>
          <cell r="E16">
            <v>0</v>
          </cell>
          <cell r="F16" t="str">
            <v>0.00</v>
          </cell>
          <cell r="G16" t="str">
            <v>0.00</v>
          </cell>
          <cell r="H16" t="str">
            <v>0.00</v>
          </cell>
          <cell r="I16" t="str">
            <v>0.00</v>
          </cell>
          <cell r="J16" t="str">
            <v>0.00</v>
          </cell>
          <cell r="K16" t="str">
            <v>0.00</v>
          </cell>
          <cell r="L16" t="str">
            <v>0.00</v>
          </cell>
          <cell r="M16" t="str">
            <v>0.00</v>
          </cell>
          <cell r="N16" t="str">
            <v>0.00</v>
          </cell>
          <cell r="O16">
            <v>0</v>
          </cell>
          <cell r="P16">
            <v>0</v>
          </cell>
          <cell r="Q16">
            <v>0</v>
          </cell>
          <cell r="R16">
            <v>0</v>
          </cell>
          <cell r="S16">
            <v>0</v>
          </cell>
        </row>
        <row r="17">
          <cell r="D17" t="str">
            <v>LT - CAS</v>
          </cell>
          <cell r="E17">
            <v>-2797918241.8699999</v>
          </cell>
          <cell r="F17" t="str">
            <v>0.00</v>
          </cell>
          <cell r="G17" t="str">
            <v>0.00</v>
          </cell>
          <cell r="H17" t="str">
            <v>0.00</v>
          </cell>
          <cell r="I17" t="str">
            <v>0.00</v>
          </cell>
          <cell r="J17" t="str">
            <v>0.00</v>
          </cell>
          <cell r="K17">
            <v>153428997.30000001</v>
          </cell>
          <cell r="L17" t="str">
            <v>0.00</v>
          </cell>
          <cell r="M17">
            <v>153428997.30000001</v>
          </cell>
          <cell r="N17" t="str">
            <v>0.00</v>
          </cell>
          <cell r="O17">
            <v>0</v>
          </cell>
          <cell r="P17">
            <v>-2644489244.5700002</v>
          </cell>
          <cell r="Q17">
            <v>-2644489244.5700002</v>
          </cell>
          <cell r="R17">
            <v>0</v>
          </cell>
          <cell r="S17">
            <v>-153428997.30000001</v>
          </cell>
        </row>
        <row r="18">
          <cell r="D18" t="str">
            <v>LT - CAS</v>
          </cell>
          <cell r="E18">
            <v>-11611877003.559999</v>
          </cell>
          <cell r="F18" t="str">
            <v>0.00</v>
          </cell>
          <cell r="G18" t="str">
            <v>0.00</v>
          </cell>
          <cell r="H18" t="str">
            <v>0.00</v>
          </cell>
          <cell r="I18" t="str">
            <v>0.00</v>
          </cell>
          <cell r="J18" t="str">
            <v>0.00</v>
          </cell>
          <cell r="K18">
            <v>28813785.960000001</v>
          </cell>
          <cell r="L18">
            <v>128186.8</v>
          </cell>
          <cell r="M18">
            <v>28941972.760000002</v>
          </cell>
          <cell r="N18" t="str">
            <v>0.00</v>
          </cell>
          <cell r="O18">
            <v>0</v>
          </cell>
          <cell r="P18">
            <v>-11582935030.799999</v>
          </cell>
          <cell r="Q18">
            <v>-11582935030.799999</v>
          </cell>
          <cell r="R18">
            <v>0</v>
          </cell>
          <cell r="S18">
            <v>-28941972.759996399</v>
          </cell>
        </row>
        <row r="19">
          <cell r="D19" t="str">
            <v>LT - FX Debt</v>
          </cell>
          <cell r="E19">
            <v>-481018040.14999998</v>
          </cell>
          <cell r="F19" t="str">
            <v>0.00</v>
          </cell>
          <cell r="G19" t="str">
            <v>0.00</v>
          </cell>
          <cell r="H19" t="str">
            <v>0.00</v>
          </cell>
          <cell r="I19" t="str">
            <v>0.00</v>
          </cell>
          <cell r="J19" t="str">
            <v>0.00</v>
          </cell>
          <cell r="K19" t="str">
            <v>0.00</v>
          </cell>
          <cell r="L19" t="str">
            <v>0.00</v>
          </cell>
          <cell r="M19" t="str">
            <v>0.00</v>
          </cell>
          <cell r="N19">
            <v>-12737129.4</v>
          </cell>
          <cell r="O19">
            <v>0</v>
          </cell>
          <cell r="P19">
            <v>-493755169.55000001</v>
          </cell>
          <cell r="Q19">
            <v>-493755169.55000001</v>
          </cell>
          <cell r="R19">
            <v>0</v>
          </cell>
          <cell r="S19">
            <v>12737129.4</v>
          </cell>
        </row>
        <row r="20">
          <cell r="D20" t="str">
            <v>Non-Callable Fixed Rate MTN</v>
          </cell>
          <cell r="E20">
            <v>-8953424149.75</v>
          </cell>
          <cell r="F20" t="str">
            <v>0.00</v>
          </cell>
          <cell r="G20" t="str">
            <v>0.00</v>
          </cell>
          <cell r="H20" t="str">
            <v>0.00</v>
          </cell>
          <cell r="I20" t="str">
            <v>0.00</v>
          </cell>
          <cell r="J20" t="str">
            <v>0.00</v>
          </cell>
          <cell r="K20">
            <v>304825000</v>
          </cell>
          <cell r="L20" t="str">
            <v>0.00</v>
          </cell>
          <cell r="M20">
            <v>304825000</v>
          </cell>
          <cell r="N20" t="str">
            <v>0.00</v>
          </cell>
          <cell r="O20">
            <v>0</v>
          </cell>
          <cell r="P20">
            <v>-8648599149.75</v>
          </cell>
          <cell r="Q20">
            <v>-8648599149.75</v>
          </cell>
          <cell r="R20">
            <v>0</v>
          </cell>
          <cell r="S20">
            <v>-304825000</v>
          </cell>
        </row>
        <row r="21">
          <cell r="D21" t="str">
            <v>Non-Callable Floating Rate MTN</v>
          </cell>
          <cell r="E21">
            <v>-250000000</v>
          </cell>
          <cell r="F21" t="str">
            <v>0.00</v>
          </cell>
          <cell r="G21" t="str">
            <v>0.00</v>
          </cell>
          <cell r="H21" t="str">
            <v>0.00</v>
          </cell>
          <cell r="I21" t="str">
            <v>0.00</v>
          </cell>
          <cell r="J21" t="str">
            <v>0.00</v>
          </cell>
          <cell r="K21" t="str">
            <v>0.00</v>
          </cell>
          <cell r="L21" t="str">
            <v>0.00</v>
          </cell>
          <cell r="M21" t="str">
            <v>0.00</v>
          </cell>
          <cell r="N21" t="str">
            <v>0.00</v>
          </cell>
          <cell r="O21">
            <v>0</v>
          </cell>
          <cell r="P21">
            <v>-250000000</v>
          </cell>
          <cell r="Q21">
            <v>-250000000</v>
          </cell>
          <cell r="R21">
            <v>0</v>
          </cell>
          <cell r="S21">
            <v>0</v>
          </cell>
        </row>
        <row r="22">
          <cell r="D22" t="str">
            <v>Non-Callable Floating Rate MTN</v>
          </cell>
          <cell r="E22">
            <v>-93124255000</v>
          </cell>
          <cell r="F22" t="str">
            <v>0.00</v>
          </cell>
          <cell r="G22" t="str">
            <v>0.00</v>
          </cell>
          <cell r="H22" t="str">
            <v>0.00</v>
          </cell>
          <cell r="I22" t="str">
            <v>0.00</v>
          </cell>
          <cell r="J22" t="str">
            <v>0.00</v>
          </cell>
          <cell r="K22">
            <v>1000000000</v>
          </cell>
          <cell r="L22" t="str">
            <v>0.00</v>
          </cell>
          <cell r="M22">
            <v>1000000000</v>
          </cell>
          <cell r="N22" t="str">
            <v>0.00</v>
          </cell>
          <cell r="O22">
            <v>0</v>
          </cell>
          <cell r="P22">
            <v>-92124255000</v>
          </cell>
          <cell r="Q22">
            <v>-92124255000</v>
          </cell>
          <cell r="R22">
            <v>0</v>
          </cell>
          <cell r="S22">
            <v>-1000000000</v>
          </cell>
        </row>
        <row r="23">
          <cell r="E23">
            <v>-264621341435.32999</v>
          </cell>
          <cell r="F23" t="str">
            <v>0.00</v>
          </cell>
          <cell r="G23" t="str">
            <v>0.00</v>
          </cell>
          <cell r="H23" t="str">
            <v>0.00</v>
          </cell>
          <cell r="I23" t="str">
            <v>0.00</v>
          </cell>
          <cell r="J23">
            <v>630000000</v>
          </cell>
          <cell r="K23">
            <v>3987067783.2600002</v>
          </cell>
          <cell r="L23">
            <v>128186.8</v>
          </cell>
          <cell r="M23">
            <v>4617195970.0600004</v>
          </cell>
          <cell r="N23">
            <v>-12737129.4</v>
          </cell>
          <cell r="O23">
            <v>0</v>
          </cell>
          <cell r="P23">
            <v>-260016882594.67001</v>
          </cell>
          <cell r="Q23">
            <v>-260016882594.67001</v>
          </cell>
          <cell r="R23">
            <v>0</v>
          </cell>
          <cell r="S23">
            <v>-4604458840.6598797</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GL Balances"/>
      <sheetName val=" Funding Summary"/>
      <sheetName val="Cover Page"/>
      <sheetName val="Summary"/>
      <sheetName val="CUSIP Details"/>
    </sheetNames>
    <sheetDataSet>
      <sheetData sheetId="0"/>
      <sheetData sheetId="1"/>
      <sheetData sheetId="2"/>
      <sheetData sheetId="3">
        <row r="5">
          <cell r="D5" t="str">
            <v>Product
Type</v>
          </cell>
          <cell r="E5" t="str">
            <v>Beginning 
Balance</v>
          </cell>
          <cell r="F5" t="str">
            <v>New Issues
(-)</v>
          </cell>
          <cell r="G5" t="str">
            <v>Re-opens
(-)</v>
          </cell>
          <cell r="H5" t="str">
            <v>Total Issuances
(-)</v>
          </cell>
          <cell r="I5" t="str">
            <v>Repurchases
(+)</v>
          </cell>
          <cell r="J5" t="str">
            <v>Calls/Puts
(+)</v>
          </cell>
          <cell r="K5" t="str">
            <v>Scheduled
Paydown/Maturites
(+)</v>
          </cell>
          <cell r="L5" t="str">
            <v>Non-Cash
Principal
Adjustment</v>
          </cell>
          <cell r="M5" t="str">
            <v>Total Redemptions
(+)</v>
          </cell>
          <cell r="N5" t="str">
            <v>FX Translation
Gain/(Loss)
(+/-)</v>
          </cell>
          <cell r="O5" t="str">
            <v>Re-Classes
(+/-)</v>
          </cell>
          <cell r="P5" t="str">
            <v>Report Calculated
Ending Balance</v>
          </cell>
          <cell r="Q5" t="str">
            <v>EDI
Ending Balance</v>
          </cell>
          <cell r="R5" t="str">
            <v>Difference</v>
          </cell>
          <cell r="S5" t="str">
            <v>MOM Change</v>
          </cell>
        </row>
        <row r="6">
          <cell r="D6" t="str">
            <v>Benchmark Repo</v>
          </cell>
          <cell r="E6">
            <v>0</v>
          </cell>
          <cell r="F6" t="str">
            <v>0.00</v>
          </cell>
          <cell r="G6" t="str">
            <v>0.00</v>
          </cell>
          <cell r="H6" t="str">
            <v>0.00</v>
          </cell>
          <cell r="I6" t="str">
            <v>0.00</v>
          </cell>
          <cell r="J6" t="str">
            <v>0.00</v>
          </cell>
          <cell r="K6" t="str">
            <v>0.00</v>
          </cell>
          <cell r="L6" t="str">
            <v>0.00</v>
          </cell>
          <cell r="M6" t="str">
            <v>0.00</v>
          </cell>
          <cell r="N6" t="str">
            <v>0.00</v>
          </cell>
          <cell r="O6">
            <v>0</v>
          </cell>
          <cell r="P6">
            <v>0</v>
          </cell>
          <cell r="Q6">
            <v>0</v>
          </cell>
          <cell r="R6">
            <v>0</v>
          </cell>
          <cell r="S6">
            <v>0</v>
          </cell>
        </row>
        <row r="7">
          <cell r="D7" t="str">
            <v>Contingency Repo</v>
          </cell>
          <cell r="E7">
            <v>0</v>
          </cell>
          <cell r="F7" t="str">
            <v>0.00</v>
          </cell>
          <cell r="G7" t="str">
            <v>0.00</v>
          </cell>
          <cell r="H7" t="str">
            <v>0.00</v>
          </cell>
          <cell r="I7" t="str">
            <v>0.00</v>
          </cell>
          <cell r="J7" t="str">
            <v>0.00</v>
          </cell>
          <cell r="K7" t="str">
            <v>0.00</v>
          </cell>
          <cell r="L7" t="str">
            <v>0.00</v>
          </cell>
          <cell r="M7" t="str">
            <v>0.00</v>
          </cell>
          <cell r="N7" t="str">
            <v>0.00</v>
          </cell>
          <cell r="O7">
            <v>0</v>
          </cell>
          <cell r="P7">
            <v>0</v>
          </cell>
          <cell r="Q7">
            <v>0</v>
          </cell>
          <cell r="R7">
            <v>0</v>
          </cell>
          <cell r="S7">
            <v>0</v>
          </cell>
        </row>
        <row r="8">
          <cell r="D8" t="str">
            <v>DVP Repo</v>
          </cell>
          <cell r="E8">
            <v>-2189687500</v>
          </cell>
          <cell r="F8">
            <v>-246250000</v>
          </cell>
          <cell r="G8" t="str">
            <v>0.00</v>
          </cell>
          <cell r="H8">
            <v>-246250000</v>
          </cell>
          <cell r="I8" t="str">
            <v>0.00</v>
          </cell>
          <cell r="J8" t="str">
            <v>0.00</v>
          </cell>
          <cell r="K8">
            <v>2435937500</v>
          </cell>
          <cell r="L8" t="str">
            <v>0.00</v>
          </cell>
          <cell r="M8">
            <v>2435937500</v>
          </cell>
          <cell r="N8" t="str">
            <v>0.00</v>
          </cell>
          <cell r="O8">
            <v>0</v>
          </cell>
          <cell r="P8">
            <v>0</v>
          </cell>
          <cell r="Q8">
            <v>0</v>
          </cell>
          <cell r="R8">
            <v>0</v>
          </cell>
          <cell r="S8">
            <v>-2189687500</v>
          </cell>
        </row>
        <row r="9">
          <cell r="D9" t="str">
            <v>Fed Funds Purchased</v>
          </cell>
          <cell r="E9">
            <v>0</v>
          </cell>
          <cell r="F9" t="str">
            <v>0.00</v>
          </cell>
          <cell r="G9" t="str">
            <v>0.00</v>
          </cell>
          <cell r="H9" t="str">
            <v>0.00</v>
          </cell>
          <cell r="I9" t="str">
            <v>0.00</v>
          </cell>
          <cell r="J9" t="str">
            <v>0.00</v>
          </cell>
          <cell r="K9" t="str">
            <v>0.00</v>
          </cell>
          <cell r="L9" t="str">
            <v>0.00</v>
          </cell>
          <cell r="M9" t="str">
            <v>0.00</v>
          </cell>
          <cell r="N9" t="str">
            <v>0.00</v>
          </cell>
          <cell r="O9">
            <v>0</v>
          </cell>
          <cell r="P9">
            <v>0</v>
          </cell>
          <cell r="Q9">
            <v>0</v>
          </cell>
          <cell r="R9">
            <v>0</v>
          </cell>
          <cell r="S9">
            <v>0</v>
          </cell>
        </row>
        <row r="10">
          <cell r="E10">
            <v>-2189687500</v>
          </cell>
          <cell r="F10">
            <v>-246250000</v>
          </cell>
          <cell r="G10" t="str">
            <v>0.00</v>
          </cell>
          <cell r="H10">
            <v>-246250000</v>
          </cell>
          <cell r="I10" t="str">
            <v>0.00</v>
          </cell>
          <cell r="J10" t="str">
            <v>0.00</v>
          </cell>
          <cell r="K10">
            <v>2435937500</v>
          </cell>
          <cell r="L10" t="str">
            <v>0.00</v>
          </cell>
          <cell r="M10">
            <v>2435937500</v>
          </cell>
          <cell r="N10" t="str">
            <v>0.00</v>
          </cell>
          <cell r="O10">
            <v>0</v>
          </cell>
          <cell r="P10">
            <v>0</v>
          </cell>
          <cell r="Q10">
            <v>0</v>
          </cell>
          <cell r="R10">
            <v>0</v>
          </cell>
          <cell r="S10">
            <v>-2189687500</v>
          </cell>
        </row>
        <row r="11">
          <cell r="D11" t="str">
            <v>ST-Debt</v>
          </cell>
          <cell r="E11">
            <v>-3387280000</v>
          </cell>
          <cell r="F11">
            <v>-1200000000</v>
          </cell>
          <cell r="G11" t="str">
            <v>0.00</v>
          </cell>
          <cell r="H11">
            <v>-1200000000</v>
          </cell>
          <cell r="I11" t="str">
            <v>0.00</v>
          </cell>
          <cell r="J11" t="str">
            <v>0.00</v>
          </cell>
          <cell r="K11">
            <v>2307380000</v>
          </cell>
          <cell r="L11" t="str">
            <v>0.00</v>
          </cell>
          <cell r="M11">
            <v>2307380000</v>
          </cell>
          <cell r="N11" t="str">
            <v>0.00</v>
          </cell>
          <cell r="O11">
            <v>0</v>
          </cell>
          <cell r="P11">
            <v>-2279900000</v>
          </cell>
          <cell r="Q11">
            <v>-2279900000</v>
          </cell>
          <cell r="R11">
            <v>0</v>
          </cell>
          <cell r="S11">
            <v>-1107380000</v>
          </cell>
        </row>
        <row r="12">
          <cell r="D12" t="str">
            <v>ST - Other - Non-Callable - Floating</v>
          </cell>
          <cell r="E12">
            <v>0</v>
          </cell>
          <cell r="F12" t="str">
            <v>0.00</v>
          </cell>
          <cell r="G12" t="str">
            <v>0.00</v>
          </cell>
          <cell r="H12" t="str">
            <v>0.00</v>
          </cell>
          <cell r="I12" t="str">
            <v>0.00</v>
          </cell>
          <cell r="J12" t="str">
            <v>0.00</v>
          </cell>
          <cell r="K12" t="str">
            <v>0.00</v>
          </cell>
          <cell r="L12" t="str">
            <v>0.00</v>
          </cell>
          <cell r="M12" t="str">
            <v>0.00</v>
          </cell>
          <cell r="N12" t="str">
            <v>0.00</v>
          </cell>
          <cell r="O12">
            <v>0</v>
          </cell>
          <cell r="P12">
            <v>0</v>
          </cell>
          <cell r="Q12">
            <v>0</v>
          </cell>
          <cell r="R12">
            <v>0</v>
          </cell>
          <cell r="S12">
            <v>0</v>
          </cell>
        </row>
        <row r="13">
          <cell r="E13">
            <v>-3387280000</v>
          </cell>
          <cell r="F13">
            <v>-1200000000</v>
          </cell>
          <cell r="G13" t="str">
            <v>0.00</v>
          </cell>
          <cell r="H13">
            <v>-1200000000</v>
          </cell>
          <cell r="I13" t="str">
            <v>0.00</v>
          </cell>
          <cell r="J13" t="str">
            <v>0.00</v>
          </cell>
          <cell r="K13">
            <v>2307380000</v>
          </cell>
          <cell r="L13" t="str">
            <v>0.00</v>
          </cell>
          <cell r="M13">
            <v>2307380000</v>
          </cell>
          <cell r="N13" t="str">
            <v>0.00</v>
          </cell>
          <cell r="O13">
            <v>0</v>
          </cell>
          <cell r="P13">
            <v>-2279900000</v>
          </cell>
          <cell r="Q13">
            <v>-2279900000</v>
          </cell>
          <cell r="R13">
            <v>0</v>
          </cell>
          <cell r="S13">
            <v>-1107380000</v>
          </cell>
        </row>
        <row r="14">
          <cell r="D14" t="str">
            <v>Benchmark Notes &amp; Bonds</v>
          </cell>
          <cell r="E14">
            <v>-99638059000</v>
          </cell>
          <cell r="F14" t="str">
            <v>0.00</v>
          </cell>
          <cell r="G14" t="str">
            <v>0.00</v>
          </cell>
          <cell r="H14" t="str">
            <v>0.00</v>
          </cell>
          <cell r="I14" t="str">
            <v>0.00</v>
          </cell>
          <cell r="J14" t="str">
            <v>0.00</v>
          </cell>
          <cell r="K14">
            <v>2232192000</v>
          </cell>
          <cell r="L14" t="str">
            <v>0.00</v>
          </cell>
          <cell r="M14">
            <v>2232192000</v>
          </cell>
          <cell r="N14" t="str">
            <v>0.00</v>
          </cell>
          <cell r="O14">
            <v>0</v>
          </cell>
          <cell r="P14">
            <v>-97405867000</v>
          </cell>
          <cell r="Q14">
            <v>-97405867000</v>
          </cell>
          <cell r="R14">
            <v>0</v>
          </cell>
          <cell r="S14">
            <v>-2232192000</v>
          </cell>
        </row>
        <row r="15">
          <cell r="D15" t="str">
            <v>Callable Fixed Rate MTN</v>
          </cell>
          <cell r="E15">
            <v>-44634790000</v>
          </cell>
          <cell r="F15" t="str">
            <v>0.00</v>
          </cell>
          <cell r="G15" t="str">
            <v>0.00</v>
          </cell>
          <cell r="H15" t="str">
            <v>0.00</v>
          </cell>
          <cell r="I15" t="str">
            <v>0.00</v>
          </cell>
          <cell r="J15">
            <v>2161000000</v>
          </cell>
          <cell r="K15" t="str">
            <v>0.00</v>
          </cell>
          <cell r="L15" t="str">
            <v>0.00</v>
          </cell>
          <cell r="M15">
            <v>2161000000</v>
          </cell>
          <cell r="N15" t="str">
            <v>0.00</v>
          </cell>
          <cell r="O15">
            <v>0</v>
          </cell>
          <cell r="P15">
            <v>-42473790000</v>
          </cell>
          <cell r="Q15">
            <v>-42473790000</v>
          </cell>
          <cell r="R15">
            <v>0</v>
          </cell>
          <cell r="S15">
            <v>-2161000000</v>
          </cell>
        </row>
        <row r="16">
          <cell r="D16" t="str">
            <v>Callable Floating Rate MTN</v>
          </cell>
          <cell r="E16">
            <v>0</v>
          </cell>
          <cell r="F16" t="str">
            <v>0.00</v>
          </cell>
          <cell r="G16" t="str">
            <v>0.00</v>
          </cell>
          <cell r="H16" t="str">
            <v>0.00</v>
          </cell>
          <cell r="I16" t="str">
            <v>0.00</v>
          </cell>
          <cell r="J16" t="str">
            <v>0.00</v>
          </cell>
          <cell r="K16" t="str">
            <v>0.00</v>
          </cell>
          <cell r="L16" t="str">
            <v>0.00</v>
          </cell>
          <cell r="M16" t="str">
            <v>0.00</v>
          </cell>
          <cell r="N16" t="str">
            <v>0.00</v>
          </cell>
          <cell r="O16">
            <v>0</v>
          </cell>
          <cell r="P16">
            <v>0</v>
          </cell>
          <cell r="Q16">
            <v>0</v>
          </cell>
          <cell r="R16">
            <v>0</v>
          </cell>
          <cell r="S16">
            <v>0</v>
          </cell>
        </row>
        <row r="17">
          <cell r="D17" t="str">
            <v>LT - CAS</v>
          </cell>
          <cell r="E17">
            <v>-2644489244.5700002</v>
          </cell>
          <cell r="F17" t="str">
            <v>0.00</v>
          </cell>
          <cell r="G17" t="str">
            <v>0.00</v>
          </cell>
          <cell r="H17" t="str">
            <v>0.00</v>
          </cell>
          <cell r="I17" t="str">
            <v>0.00</v>
          </cell>
          <cell r="J17" t="str">
            <v>0.00</v>
          </cell>
          <cell r="K17">
            <v>136681773.97999999</v>
          </cell>
          <cell r="L17" t="str">
            <v>0.00</v>
          </cell>
          <cell r="M17">
            <v>136681773.97999999</v>
          </cell>
          <cell r="N17" t="str">
            <v>0.00</v>
          </cell>
          <cell r="O17">
            <v>0</v>
          </cell>
          <cell r="P17">
            <v>-2507807470.5900002</v>
          </cell>
          <cell r="Q17">
            <v>-2507807470.5900002</v>
          </cell>
          <cell r="R17">
            <v>0</v>
          </cell>
          <cell r="S17">
            <v>-136681773.97999999</v>
          </cell>
        </row>
        <row r="18">
          <cell r="D18" t="str">
            <v>LT - CAS</v>
          </cell>
          <cell r="E18">
            <v>-11582935030.799999</v>
          </cell>
          <cell r="F18" t="str">
            <v>0.00</v>
          </cell>
          <cell r="G18" t="str">
            <v>0.00</v>
          </cell>
          <cell r="H18" t="str">
            <v>0.00</v>
          </cell>
          <cell r="I18" t="str">
            <v>0.00</v>
          </cell>
          <cell r="J18" t="str">
            <v>0.00</v>
          </cell>
          <cell r="K18">
            <v>27186701.620000001</v>
          </cell>
          <cell r="L18">
            <v>7654.6099999999897</v>
          </cell>
          <cell r="M18">
            <v>27194356.23</v>
          </cell>
          <cell r="N18" t="str">
            <v>0.00</v>
          </cell>
          <cell r="O18">
            <v>0</v>
          </cell>
          <cell r="P18">
            <v>-11555740674.57</v>
          </cell>
          <cell r="Q18">
            <v>-11555740674.57</v>
          </cell>
          <cell r="R18">
            <v>0</v>
          </cell>
          <cell r="S18">
            <v>-27194356.230001502</v>
          </cell>
        </row>
        <row r="19">
          <cell r="D19" t="str">
            <v>LT - FX Debt</v>
          </cell>
          <cell r="E19">
            <v>-493755169.55000001</v>
          </cell>
          <cell r="F19" t="str">
            <v>0.00</v>
          </cell>
          <cell r="G19" t="str">
            <v>0.00</v>
          </cell>
          <cell r="H19" t="str">
            <v>0.00</v>
          </cell>
          <cell r="I19" t="str">
            <v>0.00</v>
          </cell>
          <cell r="J19" t="str">
            <v>0.00</v>
          </cell>
          <cell r="K19">
            <v>141830000.09999999</v>
          </cell>
          <cell r="L19" t="str">
            <v>0.00</v>
          </cell>
          <cell r="M19">
            <v>141830000.09999999</v>
          </cell>
          <cell r="N19">
            <v>8903921.3000000007</v>
          </cell>
          <cell r="O19">
            <v>0</v>
          </cell>
          <cell r="P19">
            <v>-343021248.14999998</v>
          </cell>
          <cell r="Q19">
            <v>-343021248.14999998</v>
          </cell>
          <cell r="R19">
            <v>0</v>
          </cell>
          <cell r="S19">
            <v>-150733921.40000001</v>
          </cell>
        </row>
        <row r="20">
          <cell r="D20" t="str">
            <v>Non-Callable Fixed Rate MTN</v>
          </cell>
          <cell r="E20">
            <v>-8648599149.75</v>
          </cell>
          <cell r="F20" t="str">
            <v>0.00</v>
          </cell>
          <cell r="G20" t="str">
            <v>0.00</v>
          </cell>
          <cell r="H20" t="str">
            <v>0.00</v>
          </cell>
          <cell r="I20" t="str">
            <v>0.00</v>
          </cell>
          <cell r="J20" t="str">
            <v>0.00</v>
          </cell>
          <cell r="K20">
            <v>139061000</v>
          </cell>
          <cell r="L20" t="str">
            <v>0.00</v>
          </cell>
          <cell r="M20">
            <v>139061000</v>
          </cell>
          <cell r="N20" t="str">
            <v>0.00</v>
          </cell>
          <cell r="O20">
            <v>0</v>
          </cell>
          <cell r="P20">
            <v>-8509538149.75</v>
          </cell>
          <cell r="Q20">
            <v>-8509538149.75</v>
          </cell>
          <cell r="R20">
            <v>0</v>
          </cell>
          <cell r="S20">
            <v>-139061000</v>
          </cell>
        </row>
        <row r="21">
          <cell r="D21" t="str">
            <v>Non-Callable Floating Rate MTN</v>
          </cell>
          <cell r="E21">
            <v>-250000000</v>
          </cell>
          <cell r="F21" t="str">
            <v>0.00</v>
          </cell>
          <cell r="G21" t="str">
            <v>0.00</v>
          </cell>
          <cell r="H21" t="str">
            <v>0.00</v>
          </cell>
          <cell r="I21" t="str">
            <v>0.00</v>
          </cell>
          <cell r="J21" t="str">
            <v>0.00</v>
          </cell>
          <cell r="K21" t="str">
            <v>0.00</v>
          </cell>
          <cell r="L21" t="str">
            <v>0.00</v>
          </cell>
          <cell r="M21" t="str">
            <v>0.00</v>
          </cell>
          <cell r="N21" t="str">
            <v>0.00</v>
          </cell>
          <cell r="O21">
            <v>0</v>
          </cell>
          <cell r="P21">
            <v>-250000000</v>
          </cell>
          <cell r="Q21">
            <v>-250000000</v>
          </cell>
          <cell r="R21">
            <v>0</v>
          </cell>
          <cell r="S21">
            <v>0</v>
          </cell>
        </row>
        <row r="22">
          <cell r="D22" t="str">
            <v>Non-Callable Floating Rate MTN</v>
          </cell>
          <cell r="E22">
            <v>-92124255000</v>
          </cell>
          <cell r="F22" t="str">
            <v>0.00</v>
          </cell>
          <cell r="G22" t="str">
            <v>0.00</v>
          </cell>
          <cell r="H22" t="str">
            <v>0.00</v>
          </cell>
          <cell r="I22" t="str">
            <v>0.00</v>
          </cell>
          <cell r="J22" t="str">
            <v>0.00</v>
          </cell>
          <cell r="K22">
            <v>4750000000</v>
          </cell>
          <cell r="L22" t="str">
            <v>0.00</v>
          </cell>
          <cell r="M22">
            <v>4750000000</v>
          </cell>
          <cell r="N22" t="str">
            <v>0.00</v>
          </cell>
          <cell r="O22">
            <v>0</v>
          </cell>
          <cell r="P22">
            <v>-87374255000</v>
          </cell>
          <cell r="Q22">
            <v>-87374255000</v>
          </cell>
          <cell r="R22">
            <v>0</v>
          </cell>
          <cell r="S22">
            <v>-4750000000</v>
          </cell>
        </row>
        <row r="23">
          <cell r="E23">
            <v>-260016882594.67001</v>
          </cell>
          <cell r="F23" t="str">
            <v>0.00</v>
          </cell>
          <cell r="G23" t="str">
            <v>0.00</v>
          </cell>
          <cell r="H23" t="str">
            <v>0.00</v>
          </cell>
          <cell r="I23" t="str">
            <v>0.00</v>
          </cell>
          <cell r="J23">
            <v>2161000000</v>
          </cell>
          <cell r="K23">
            <v>7426951475.6999998</v>
          </cell>
          <cell r="L23">
            <v>7654.6099999999897</v>
          </cell>
          <cell r="M23">
            <v>9587959130.3099995</v>
          </cell>
          <cell r="N23">
            <v>8903921.3000000007</v>
          </cell>
          <cell r="O23">
            <v>0</v>
          </cell>
          <cell r="P23">
            <v>-250420019543.06</v>
          </cell>
          <cell r="Q23">
            <v>-250420019543.06</v>
          </cell>
          <cell r="R23">
            <v>0</v>
          </cell>
          <cell r="S23">
            <v>-9596863051.6100197</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GL Balances"/>
      <sheetName val=" Funding Summary"/>
      <sheetName val="Cover Page"/>
      <sheetName val="Summary"/>
      <sheetName val="CUSIP Details"/>
    </sheetNames>
    <sheetDataSet>
      <sheetData sheetId="0"/>
      <sheetData sheetId="1"/>
      <sheetData sheetId="2"/>
      <sheetData sheetId="3">
        <row r="5">
          <cell r="D5" t="str">
            <v>Product
Type</v>
          </cell>
          <cell r="E5" t="str">
            <v>Beginning 
Balance</v>
          </cell>
          <cell r="F5" t="str">
            <v>New Issues
(-)</v>
          </cell>
          <cell r="G5" t="str">
            <v>Re-opens
(-)</v>
          </cell>
          <cell r="H5" t="str">
            <v>Total Issuances
(-)</v>
          </cell>
          <cell r="I5" t="str">
            <v>Repurchases
(+)</v>
          </cell>
          <cell r="J5" t="str">
            <v>Calls/Puts
(+)</v>
          </cell>
          <cell r="K5" t="str">
            <v>Scheduled
Paydown/Maturites
(+)</v>
          </cell>
          <cell r="L5" t="str">
            <v>Non-Cash
Principal
Adjustment</v>
          </cell>
          <cell r="M5" t="str">
            <v>Total Redemptions
(+)</v>
          </cell>
          <cell r="N5" t="str">
            <v>FX Translation
Gain/(Loss)
(+/-)</v>
          </cell>
          <cell r="O5" t="str">
            <v>Re-Classes
(+/-)</v>
          </cell>
          <cell r="P5" t="str">
            <v>Report Calculated
Ending Balance</v>
          </cell>
          <cell r="Q5" t="str">
            <v>EDI
Ending Balance</v>
          </cell>
          <cell r="R5" t="str">
            <v>Difference</v>
          </cell>
          <cell r="S5" t="str">
            <v>MOM Change</v>
          </cell>
        </row>
        <row r="6">
          <cell r="D6" t="str">
            <v>Benchmark Repo</v>
          </cell>
          <cell r="E6">
            <v>0</v>
          </cell>
          <cell r="F6" t="str">
            <v>0.00</v>
          </cell>
          <cell r="G6" t="str">
            <v>0.00</v>
          </cell>
          <cell r="H6" t="str">
            <v>0.00</v>
          </cell>
          <cell r="I6" t="str">
            <v>0.00</v>
          </cell>
          <cell r="J6" t="str">
            <v>0.00</v>
          </cell>
          <cell r="K6" t="str">
            <v>0.00</v>
          </cell>
          <cell r="L6" t="str">
            <v>0.00</v>
          </cell>
          <cell r="M6" t="str">
            <v>0.00</v>
          </cell>
          <cell r="N6" t="str">
            <v>0.00</v>
          </cell>
          <cell r="O6">
            <v>0</v>
          </cell>
          <cell r="P6">
            <v>0</v>
          </cell>
          <cell r="Q6">
            <v>0</v>
          </cell>
          <cell r="R6">
            <v>0</v>
          </cell>
          <cell r="S6">
            <v>0</v>
          </cell>
        </row>
        <row r="7">
          <cell r="D7" t="str">
            <v>Contingency Repo</v>
          </cell>
          <cell r="E7">
            <v>0</v>
          </cell>
          <cell r="F7" t="str">
            <v>0.00</v>
          </cell>
          <cell r="G7" t="str">
            <v>0.00</v>
          </cell>
          <cell r="H7" t="str">
            <v>0.00</v>
          </cell>
          <cell r="I7" t="str">
            <v>0.00</v>
          </cell>
          <cell r="J7" t="str">
            <v>0.00</v>
          </cell>
          <cell r="K7" t="str">
            <v>0.00</v>
          </cell>
          <cell r="L7" t="str">
            <v>0.00</v>
          </cell>
          <cell r="M7" t="str">
            <v>0.00</v>
          </cell>
          <cell r="N7" t="str">
            <v>0.00</v>
          </cell>
          <cell r="O7">
            <v>0</v>
          </cell>
          <cell r="P7">
            <v>0</v>
          </cell>
          <cell r="Q7">
            <v>0</v>
          </cell>
          <cell r="R7">
            <v>0</v>
          </cell>
          <cell r="S7">
            <v>0</v>
          </cell>
        </row>
        <row r="8">
          <cell r="D8" t="str">
            <v>DVP Repo</v>
          </cell>
          <cell r="E8">
            <v>0</v>
          </cell>
          <cell r="F8" t="str">
            <v>0.00</v>
          </cell>
          <cell r="G8" t="str">
            <v>0.00</v>
          </cell>
          <cell r="H8" t="str">
            <v>0.00</v>
          </cell>
          <cell r="I8" t="str">
            <v>0.00</v>
          </cell>
          <cell r="J8" t="str">
            <v>0.00</v>
          </cell>
          <cell r="K8" t="str">
            <v>0.00</v>
          </cell>
          <cell r="L8" t="str">
            <v>0.00</v>
          </cell>
          <cell r="M8" t="str">
            <v>0.00</v>
          </cell>
          <cell r="N8" t="str">
            <v>0.00</v>
          </cell>
          <cell r="O8">
            <v>0</v>
          </cell>
          <cell r="P8">
            <v>0</v>
          </cell>
          <cell r="Q8">
            <v>0</v>
          </cell>
          <cell r="R8">
            <v>0</v>
          </cell>
          <cell r="S8">
            <v>0</v>
          </cell>
        </row>
        <row r="9">
          <cell r="D9" t="str">
            <v>Fed Funds Purchased</v>
          </cell>
          <cell r="E9">
            <v>0</v>
          </cell>
          <cell r="F9" t="str">
            <v>0.00</v>
          </cell>
          <cell r="G9" t="str">
            <v>0.00</v>
          </cell>
          <cell r="H9" t="str">
            <v>0.00</v>
          </cell>
          <cell r="I9" t="str">
            <v>0.00</v>
          </cell>
          <cell r="J9" t="str">
            <v>0.00</v>
          </cell>
          <cell r="K9" t="str">
            <v>0.00</v>
          </cell>
          <cell r="L9" t="str">
            <v>0.00</v>
          </cell>
          <cell r="M9" t="str">
            <v>0.00</v>
          </cell>
          <cell r="N9" t="str">
            <v>0.00</v>
          </cell>
          <cell r="O9">
            <v>0</v>
          </cell>
          <cell r="P9">
            <v>0</v>
          </cell>
          <cell r="Q9">
            <v>0</v>
          </cell>
          <cell r="R9">
            <v>0</v>
          </cell>
          <cell r="S9">
            <v>0</v>
          </cell>
        </row>
        <row r="10">
          <cell r="E10">
            <v>0</v>
          </cell>
          <cell r="F10" t="str">
            <v>0.00</v>
          </cell>
          <cell r="G10" t="str">
            <v>0.00</v>
          </cell>
          <cell r="H10" t="str">
            <v>0.00</v>
          </cell>
          <cell r="I10" t="str">
            <v>0.00</v>
          </cell>
          <cell r="J10" t="str">
            <v>0.00</v>
          </cell>
          <cell r="K10" t="str">
            <v>0.00</v>
          </cell>
          <cell r="L10" t="str">
            <v>0.00</v>
          </cell>
          <cell r="M10" t="str">
            <v>0.00</v>
          </cell>
          <cell r="N10" t="str">
            <v>0.00</v>
          </cell>
          <cell r="O10">
            <v>0</v>
          </cell>
          <cell r="P10">
            <v>0</v>
          </cell>
          <cell r="Q10">
            <v>0</v>
          </cell>
          <cell r="R10">
            <v>0</v>
          </cell>
          <cell r="S10">
            <v>0</v>
          </cell>
        </row>
        <row r="11">
          <cell r="D11" t="str">
            <v>ST-Debt</v>
          </cell>
          <cell r="E11">
            <v>-2279900000</v>
          </cell>
          <cell r="F11">
            <v>-12400000000</v>
          </cell>
          <cell r="G11" t="str">
            <v>0.00</v>
          </cell>
          <cell r="H11">
            <v>-12400000000</v>
          </cell>
          <cell r="I11" t="str">
            <v>0.00</v>
          </cell>
          <cell r="J11" t="str">
            <v>0.00</v>
          </cell>
          <cell r="K11">
            <v>11624900000</v>
          </cell>
          <cell r="L11" t="str">
            <v>0.00</v>
          </cell>
          <cell r="M11">
            <v>11624900000</v>
          </cell>
          <cell r="N11" t="str">
            <v>0.00</v>
          </cell>
          <cell r="O11">
            <v>0</v>
          </cell>
          <cell r="P11">
            <v>-3055000000</v>
          </cell>
          <cell r="Q11">
            <v>-3055000000</v>
          </cell>
          <cell r="R11">
            <v>0</v>
          </cell>
          <cell r="S11">
            <v>775100000</v>
          </cell>
        </row>
        <row r="12">
          <cell r="D12" t="str">
            <v>ST - Other - Non-Callable - Floating</v>
          </cell>
          <cell r="E12">
            <v>0</v>
          </cell>
          <cell r="F12" t="str">
            <v>0.00</v>
          </cell>
          <cell r="G12" t="str">
            <v>0.00</v>
          </cell>
          <cell r="H12" t="str">
            <v>0.00</v>
          </cell>
          <cell r="I12" t="str">
            <v>0.00</v>
          </cell>
          <cell r="J12" t="str">
            <v>0.00</v>
          </cell>
          <cell r="K12" t="str">
            <v>0.00</v>
          </cell>
          <cell r="L12" t="str">
            <v>0.00</v>
          </cell>
          <cell r="M12" t="str">
            <v>0.00</v>
          </cell>
          <cell r="N12" t="str">
            <v>0.00</v>
          </cell>
          <cell r="O12">
            <v>0</v>
          </cell>
          <cell r="P12">
            <v>0</v>
          </cell>
          <cell r="Q12">
            <v>0</v>
          </cell>
          <cell r="R12">
            <v>0</v>
          </cell>
          <cell r="S12">
            <v>0</v>
          </cell>
        </row>
        <row r="13">
          <cell r="E13">
            <v>-2279900000</v>
          </cell>
          <cell r="F13">
            <v>-12400000000</v>
          </cell>
          <cell r="G13" t="str">
            <v>0.00</v>
          </cell>
          <cell r="H13">
            <v>-12400000000</v>
          </cell>
          <cell r="I13" t="str">
            <v>0.00</v>
          </cell>
          <cell r="J13" t="str">
            <v>0.00</v>
          </cell>
          <cell r="K13">
            <v>11624900000</v>
          </cell>
          <cell r="L13" t="str">
            <v>0.00</v>
          </cell>
          <cell r="M13">
            <v>11624900000</v>
          </cell>
          <cell r="N13" t="str">
            <v>0.00</v>
          </cell>
          <cell r="O13">
            <v>0</v>
          </cell>
          <cell r="P13">
            <v>-3055000000</v>
          </cell>
          <cell r="Q13">
            <v>-3055000000</v>
          </cell>
          <cell r="R13">
            <v>0</v>
          </cell>
          <cell r="S13">
            <v>775100000</v>
          </cell>
        </row>
        <row r="14">
          <cell r="D14" t="str">
            <v>Benchmark Notes &amp; Bonds</v>
          </cell>
          <cell r="E14">
            <v>-97405867000</v>
          </cell>
          <cell r="F14" t="str">
            <v>0.00</v>
          </cell>
          <cell r="G14" t="str">
            <v>0.00</v>
          </cell>
          <cell r="H14" t="str">
            <v>0.00</v>
          </cell>
          <cell r="I14" t="str">
            <v>0.00</v>
          </cell>
          <cell r="J14" t="str">
            <v>0.00</v>
          </cell>
          <cell r="K14" t="str">
            <v>0.00</v>
          </cell>
          <cell r="L14" t="str">
            <v>0.00</v>
          </cell>
          <cell r="M14" t="str">
            <v>0.00</v>
          </cell>
          <cell r="N14" t="str">
            <v>0.00</v>
          </cell>
          <cell r="O14">
            <v>0</v>
          </cell>
          <cell r="P14">
            <v>-97405867000</v>
          </cell>
          <cell r="Q14">
            <v>-97405867000</v>
          </cell>
          <cell r="R14">
            <v>0</v>
          </cell>
          <cell r="S14">
            <v>0</v>
          </cell>
        </row>
        <row r="15">
          <cell r="D15" t="str">
            <v>Callable Fixed Rate MTN</v>
          </cell>
          <cell r="E15">
            <v>-42473790000</v>
          </cell>
          <cell r="F15" t="str">
            <v>0.00</v>
          </cell>
          <cell r="G15" t="str">
            <v>0.00</v>
          </cell>
          <cell r="H15" t="str">
            <v>0.00</v>
          </cell>
          <cell r="I15" t="str">
            <v>0.00</v>
          </cell>
          <cell r="J15">
            <v>3586000000</v>
          </cell>
          <cell r="K15" t="str">
            <v>0.00</v>
          </cell>
          <cell r="L15" t="str">
            <v>0.00</v>
          </cell>
          <cell r="M15">
            <v>3586000000</v>
          </cell>
          <cell r="N15" t="str">
            <v>0.00</v>
          </cell>
          <cell r="O15">
            <v>0</v>
          </cell>
          <cell r="P15">
            <v>-38887790000</v>
          </cell>
          <cell r="Q15">
            <v>-38887790000</v>
          </cell>
          <cell r="R15">
            <v>0</v>
          </cell>
          <cell r="S15">
            <v>-3586000000</v>
          </cell>
        </row>
        <row r="16">
          <cell r="D16" t="str">
            <v>Callable Floating Rate MTN</v>
          </cell>
          <cell r="E16">
            <v>0</v>
          </cell>
          <cell r="F16" t="str">
            <v>0.00</v>
          </cell>
          <cell r="G16" t="str">
            <v>0.00</v>
          </cell>
          <cell r="H16" t="str">
            <v>0.00</v>
          </cell>
          <cell r="I16" t="str">
            <v>0.00</v>
          </cell>
          <cell r="J16" t="str">
            <v>0.00</v>
          </cell>
          <cell r="K16" t="str">
            <v>0.00</v>
          </cell>
          <cell r="L16" t="str">
            <v>0.00</v>
          </cell>
          <cell r="M16" t="str">
            <v>0.00</v>
          </cell>
          <cell r="N16" t="str">
            <v>0.00</v>
          </cell>
          <cell r="O16">
            <v>0</v>
          </cell>
          <cell r="P16">
            <v>0</v>
          </cell>
          <cell r="Q16">
            <v>0</v>
          </cell>
          <cell r="R16">
            <v>0</v>
          </cell>
          <cell r="S16">
            <v>0</v>
          </cell>
        </row>
        <row r="17">
          <cell r="D17" t="str">
            <v>LT - CAS</v>
          </cell>
          <cell r="E17">
            <v>-2507807470.5900002</v>
          </cell>
          <cell r="F17" t="str">
            <v>0.00</v>
          </cell>
          <cell r="G17" t="str">
            <v>0.00</v>
          </cell>
          <cell r="H17" t="str">
            <v>0.00</v>
          </cell>
          <cell r="I17" t="str">
            <v>0.00</v>
          </cell>
          <cell r="J17" t="str">
            <v>0.00</v>
          </cell>
          <cell r="K17">
            <v>108624509.13</v>
          </cell>
          <cell r="L17" t="str">
            <v>0.00</v>
          </cell>
          <cell r="M17">
            <v>108624509.13</v>
          </cell>
          <cell r="N17" t="str">
            <v>0.00</v>
          </cell>
          <cell r="O17">
            <v>0</v>
          </cell>
          <cell r="P17">
            <v>-2399182961.46</v>
          </cell>
          <cell r="Q17">
            <v>-2399182961.46</v>
          </cell>
          <cell r="R17">
            <v>0</v>
          </cell>
          <cell r="S17">
            <v>-108624509.13000099</v>
          </cell>
        </row>
        <row r="18">
          <cell r="D18" t="str">
            <v>LT - CAS</v>
          </cell>
          <cell r="E18">
            <v>-11555740674.57</v>
          </cell>
          <cell r="F18" t="str">
            <v>0.00</v>
          </cell>
          <cell r="G18" t="str">
            <v>0.00</v>
          </cell>
          <cell r="H18" t="str">
            <v>0.00</v>
          </cell>
          <cell r="I18" t="str">
            <v>0.00</v>
          </cell>
          <cell r="J18" t="str">
            <v>0.00</v>
          </cell>
          <cell r="K18">
            <v>26149746.030000001</v>
          </cell>
          <cell r="L18">
            <v>115047.07</v>
          </cell>
          <cell r="M18">
            <v>26264793.100000001</v>
          </cell>
          <cell r="N18" t="str">
            <v>0.00</v>
          </cell>
          <cell r="O18">
            <v>0</v>
          </cell>
          <cell r="P18">
            <v>-11529475881.469999</v>
          </cell>
          <cell r="Q18">
            <v>-11529475881.469999</v>
          </cell>
          <cell r="R18">
            <v>0</v>
          </cell>
          <cell r="S18">
            <v>-26264793.0999985</v>
          </cell>
        </row>
        <row r="19">
          <cell r="D19" t="str">
            <v>LT - FX Debt</v>
          </cell>
          <cell r="E19">
            <v>-343021248.14999998</v>
          </cell>
          <cell r="F19" t="str">
            <v>0.00</v>
          </cell>
          <cell r="G19" t="str">
            <v>0.00</v>
          </cell>
          <cell r="H19" t="str">
            <v>0.00</v>
          </cell>
          <cell r="I19" t="str">
            <v>0.00</v>
          </cell>
          <cell r="J19" t="str">
            <v>0.00</v>
          </cell>
          <cell r="K19" t="str">
            <v>0.00</v>
          </cell>
          <cell r="L19" t="str">
            <v>0.00</v>
          </cell>
          <cell r="M19" t="str">
            <v>0.00</v>
          </cell>
          <cell r="N19">
            <v>-1810465.7</v>
          </cell>
          <cell r="O19">
            <v>0</v>
          </cell>
          <cell r="P19">
            <v>-344831713.85000002</v>
          </cell>
          <cell r="Q19">
            <v>-344831713.85000002</v>
          </cell>
          <cell r="R19">
            <v>0</v>
          </cell>
          <cell r="S19">
            <v>1810465.70000005</v>
          </cell>
        </row>
        <row r="20">
          <cell r="D20" t="str">
            <v>Non-Callable Fixed Rate MTN</v>
          </cell>
          <cell r="E20">
            <v>-8509538149.75</v>
          </cell>
          <cell r="F20" t="str">
            <v>0.00</v>
          </cell>
          <cell r="G20" t="str">
            <v>0.00</v>
          </cell>
          <cell r="H20" t="str">
            <v>0.00</v>
          </cell>
          <cell r="I20" t="str">
            <v>0.00</v>
          </cell>
          <cell r="J20" t="str">
            <v>0.00</v>
          </cell>
          <cell r="K20">
            <v>240000000</v>
          </cell>
          <cell r="L20" t="str">
            <v>0.00</v>
          </cell>
          <cell r="M20">
            <v>240000000</v>
          </cell>
          <cell r="N20" t="str">
            <v>0.00</v>
          </cell>
          <cell r="O20">
            <v>0</v>
          </cell>
          <cell r="P20">
            <v>-8269538149.75</v>
          </cell>
          <cell r="Q20">
            <v>-8269538149.75</v>
          </cell>
          <cell r="R20">
            <v>0</v>
          </cell>
          <cell r="S20">
            <v>-240000000</v>
          </cell>
        </row>
        <row r="21">
          <cell r="D21" t="str">
            <v>Non-Callable Floating Rate MTN</v>
          </cell>
          <cell r="E21">
            <v>-250000000</v>
          </cell>
          <cell r="F21" t="str">
            <v>0.00</v>
          </cell>
          <cell r="G21" t="str">
            <v>0.00</v>
          </cell>
          <cell r="H21" t="str">
            <v>0.00</v>
          </cell>
          <cell r="I21" t="str">
            <v>0.00</v>
          </cell>
          <cell r="J21" t="str">
            <v>0.00</v>
          </cell>
          <cell r="K21" t="str">
            <v>0.00</v>
          </cell>
          <cell r="L21" t="str">
            <v>0.00</v>
          </cell>
          <cell r="M21" t="str">
            <v>0.00</v>
          </cell>
          <cell r="N21" t="str">
            <v>0.00</v>
          </cell>
          <cell r="O21">
            <v>0</v>
          </cell>
          <cell r="P21">
            <v>-250000000</v>
          </cell>
          <cell r="Q21">
            <v>-250000000</v>
          </cell>
          <cell r="R21">
            <v>0</v>
          </cell>
          <cell r="S21">
            <v>0</v>
          </cell>
        </row>
        <row r="22">
          <cell r="D22" t="str">
            <v>Non-Callable Floating Rate MTN</v>
          </cell>
          <cell r="E22">
            <v>-87374255000</v>
          </cell>
          <cell r="F22" t="str">
            <v>0.00</v>
          </cell>
          <cell r="G22" t="str">
            <v>0.00</v>
          </cell>
          <cell r="H22" t="str">
            <v>0.00</v>
          </cell>
          <cell r="I22" t="str">
            <v>0.00</v>
          </cell>
          <cell r="J22" t="str">
            <v>0.00</v>
          </cell>
          <cell r="K22">
            <v>3215000000</v>
          </cell>
          <cell r="L22" t="str">
            <v>0.00</v>
          </cell>
          <cell r="M22">
            <v>3215000000</v>
          </cell>
          <cell r="N22" t="str">
            <v>0.00</v>
          </cell>
          <cell r="O22">
            <v>0</v>
          </cell>
          <cell r="P22">
            <v>-84159255000</v>
          </cell>
          <cell r="Q22">
            <v>-84159255000</v>
          </cell>
          <cell r="R22">
            <v>0</v>
          </cell>
          <cell r="S22">
            <v>-3215000000</v>
          </cell>
        </row>
        <row r="23">
          <cell r="E23">
            <v>-250420019543.06</v>
          </cell>
          <cell r="F23" t="str">
            <v>0.00</v>
          </cell>
          <cell r="G23" t="str">
            <v>0.00</v>
          </cell>
          <cell r="H23" t="str">
            <v>0.00</v>
          </cell>
          <cell r="I23" t="str">
            <v>0.00</v>
          </cell>
          <cell r="J23">
            <v>3586000000</v>
          </cell>
          <cell r="K23">
            <v>3589774255.1599998</v>
          </cell>
          <cell r="L23">
            <v>115047.07</v>
          </cell>
          <cell r="M23">
            <v>7175889302.2299995</v>
          </cell>
          <cell r="N23">
            <v>-1810465.7</v>
          </cell>
          <cell r="O23">
            <v>0</v>
          </cell>
          <cell r="P23">
            <v>-243245940706.53</v>
          </cell>
          <cell r="Q23">
            <v>-243245940706.53</v>
          </cell>
          <cell r="R23">
            <v>0</v>
          </cell>
          <cell r="S23">
            <v>-7174078836.5299101</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GL Balances"/>
      <sheetName val=" Funding Summary"/>
      <sheetName val="Cover Page"/>
      <sheetName val="Summary"/>
      <sheetName val="CUSIP Details"/>
    </sheetNames>
    <sheetDataSet>
      <sheetData sheetId="0"/>
      <sheetData sheetId="1"/>
      <sheetData sheetId="2"/>
      <sheetData sheetId="3">
        <row r="5">
          <cell r="D5" t="str">
            <v>Product
Type</v>
          </cell>
          <cell r="E5" t="str">
            <v>Beginning 
Balance</v>
          </cell>
          <cell r="F5" t="str">
            <v>New Issues
(-)</v>
          </cell>
          <cell r="G5" t="str">
            <v>Re-opens
(-)</v>
          </cell>
          <cell r="H5" t="str">
            <v>Total Issuances
(-)</v>
          </cell>
          <cell r="I5" t="str">
            <v>Repurchases
(+)</v>
          </cell>
          <cell r="J5" t="str">
            <v>Calls/Puts
(+)</v>
          </cell>
          <cell r="K5" t="str">
            <v>Scheduled
Paydown/Maturites
(+)</v>
          </cell>
          <cell r="L5" t="str">
            <v>Non-Cash
Principal
Adjustment</v>
          </cell>
          <cell r="M5" t="str">
            <v>Total Redemptions
(+)</v>
          </cell>
          <cell r="N5" t="str">
            <v>FX Translation
Gain/(Loss)
(+/-)</v>
          </cell>
          <cell r="O5" t="str">
            <v>Re-Classes
(+/-)</v>
          </cell>
          <cell r="P5" t="str">
            <v>Report Calculated
Ending Balance</v>
          </cell>
          <cell r="Q5" t="str">
            <v>EDI
Ending Balance</v>
          </cell>
          <cell r="R5" t="str">
            <v>Difference</v>
          </cell>
          <cell r="S5" t="str">
            <v>MOM Change</v>
          </cell>
        </row>
        <row r="6">
          <cell r="D6" t="str">
            <v>Benchmark Repo</v>
          </cell>
          <cell r="E6">
            <v>0</v>
          </cell>
          <cell r="F6" t="str">
            <v>0.00</v>
          </cell>
          <cell r="G6" t="str">
            <v>0.00</v>
          </cell>
          <cell r="H6" t="str">
            <v>0.00</v>
          </cell>
          <cell r="I6" t="str">
            <v>0.00</v>
          </cell>
          <cell r="J6" t="str">
            <v>0.00</v>
          </cell>
          <cell r="K6" t="str">
            <v>0.00</v>
          </cell>
          <cell r="L6" t="str">
            <v>0.00</v>
          </cell>
          <cell r="M6" t="str">
            <v>0.00</v>
          </cell>
          <cell r="N6" t="str">
            <v>0.00</v>
          </cell>
          <cell r="O6">
            <v>0</v>
          </cell>
          <cell r="P6">
            <v>0</v>
          </cell>
          <cell r="Q6">
            <v>0</v>
          </cell>
          <cell r="R6">
            <v>0</v>
          </cell>
          <cell r="S6">
            <v>0</v>
          </cell>
        </row>
        <row r="7">
          <cell r="D7" t="str">
            <v>Contingency Repo</v>
          </cell>
          <cell r="E7">
            <v>0</v>
          </cell>
          <cell r="F7" t="str">
            <v>0.00</v>
          </cell>
          <cell r="G7" t="str">
            <v>0.00</v>
          </cell>
          <cell r="H7" t="str">
            <v>0.00</v>
          </cell>
          <cell r="I7" t="str">
            <v>0.00</v>
          </cell>
          <cell r="J7" t="str">
            <v>0.00</v>
          </cell>
          <cell r="K7" t="str">
            <v>0.00</v>
          </cell>
          <cell r="L7" t="str">
            <v>0.00</v>
          </cell>
          <cell r="M7" t="str">
            <v>0.00</v>
          </cell>
          <cell r="N7" t="str">
            <v>0.00</v>
          </cell>
          <cell r="O7">
            <v>0</v>
          </cell>
          <cell r="P7">
            <v>0</v>
          </cell>
          <cell r="Q7">
            <v>0</v>
          </cell>
          <cell r="R7">
            <v>0</v>
          </cell>
          <cell r="S7">
            <v>0</v>
          </cell>
        </row>
        <row r="8">
          <cell r="D8" t="str">
            <v>DVP Repo</v>
          </cell>
          <cell r="E8">
            <v>0</v>
          </cell>
          <cell r="F8">
            <v>-3747656250</v>
          </cell>
          <cell r="G8" t="str">
            <v>0.00</v>
          </cell>
          <cell r="H8">
            <v>-3747656250</v>
          </cell>
          <cell r="I8" t="str">
            <v>0.00</v>
          </cell>
          <cell r="J8" t="str">
            <v>0.00</v>
          </cell>
          <cell r="K8">
            <v>3747656250</v>
          </cell>
          <cell r="L8" t="str">
            <v>0.00</v>
          </cell>
          <cell r="M8">
            <v>3747656250</v>
          </cell>
          <cell r="N8" t="str">
            <v>0.00</v>
          </cell>
          <cell r="O8">
            <v>0</v>
          </cell>
          <cell r="P8">
            <v>0</v>
          </cell>
          <cell r="Q8">
            <v>0</v>
          </cell>
          <cell r="R8">
            <v>0</v>
          </cell>
          <cell r="S8">
            <v>0</v>
          </cell>
        </row>
        <row r="9">
          <cell r="D9" t="str">
            <v>Fed Funds Purchased</v>
          </cell>
          <cell r="E9">
            <v>0</v>
          </cell>
          <cell r="F9" t="str">
            <v>0.00</v>
          </cell>
          <cell r="G9" t="str">
            <v>0.00</v>
          </cell>
          <cell r="H9" t="str">
            <v>0.00</v>
          </cell>
          <cell r="I9" t="str">
            <v>0.00</v>
          </cell>
          <cell r="J9" t="str">
            <v>0.00</v>
          </cell>
          <cell r="K9" t="str">
            <v>0.00</v>
          </cell>
          <cell r="L9" t="str">
            <v>0.00</v>
          </cell>
          <cell r="M9" t="str">
            <v>0.00</v>
          </cell>
          <cell r="N9" t="str">
            <v>0.00</v>
          </cell>
          <cell r="O9">
            <v>0</v>
          </cell>
          <cell r="P9">
            <v>0</v>
          </cell>
          <cell r="Q9">
            <v>0</v>
          </cell>
          <cell r="R9">
            <v>0</v>
          </cell>
          <cell r="S9">
            <v>0</v>
          </cell>
        </row>
        <row r="10">
          <cell r="E10">
            <v>0</v>
          </cell>
          <cell r="F10">
            <v>-3747656250</v>
          </cell>
          <cell r="G10" t="str">
            <v>0.00</v>
          </cell>
          <cell r="H10">
            <v>-3747656250</v>
          </cell>
          <cell r="I10" t="str">
            <v>0.00</v>
          </cell>
          <cell r="J10" t="str">
            <v>0.00</v>
          </cell>
          <cell r="K10">
            <v>3747656250</v>
          </cell>
          <cell r="L10" t="str">
            <v>0.00</v>
          </cell>
          <cell r="M10">
            <v>3747656250</v>
          </cell>
          <cell r="N10" t="str">
            <v>0.00</v>
          </cell>
          <cell r="O10">
            <v>0</v>
          </cell>
          <cell r="P10">
            <v>0</v>
          </cell>
          <cell r="Q10">
            <v>0</v>
          </cell>
          <cell r="R10">
            <v>0</v>
          </cell>
          <cell r="S10">
            <v>0</v>
          </cell>
        </row>
        <row r="11">
          <cell r="D11" t="str">
            <v>ST-Debt</v>
          </cell>
          <cell r="E11">
            <v>-3055000000</v>
          </cell>
          <cell r="F11">
            <v>-10450000000</v>
          </cell>
          <cell r="G11" t="str">
            <v>0.00</v>
          </cell>
          <cell r="H11">
            <v>-10450000000</v>
          </cell>
          <cell r="I11" t="str">
            <v>0.00</v>
          </cell>
          <cell r="J11" t="str">
            <v>0.00</v>
          </cell>
          <cell r="K11">
            <v>10210000000</v>
          </cell>
          <cell r="L11" t="str">
            <v>0.00</v>
          </cell>
          <cell r="M11">
            <v>10210000000</v>
          </cell>
          <cell r="N11" t="str">
            <v>0.00</v>
          </cell>
          <cell r="O11">
            <v>0</v>
          </cell>
          <cell r="P11">
            <v>-3295000000</v>
          </cell>
          <cell r="Q11">
            <v>-3295000000</v>
          </cell>
          <cell r="R11">
            <v>0</v>
          </cell>
          <cell r="S11">
            <v>240000000</v>
          </cell>
        </row>
        <row r="12">
          <cell r="D12" t="str">
            <v>ST - Other - Non-Callable - Floating</v>
          </cell>
          <cell r="E12">
            <v>0</v>
          </cell>
          <cell r="F12" t="str">
            <v>0.00</v>
          </cell>
          <cell r="G12" t="str">
            <v>0.00</v>
          </cell>
          <cell r="H12" t="str">
            <v>0.00</v>
          </cell>
          <cell r="I12" t="str">
            <v>0.00</v>
          </cell>
          <cell r="J12" t="str">
            <v>0.00</v>
          </cell>
          <cell r="K12" t="str">
            <v>0.00</v>
          </cell>
          <cell r="L12" t="str">
            <v>0.00</v>
          </cell>
          <cell r="M12" t="str">
            <v>0.00</v>
          </cell>
          <cell r="N12" t="str">
            <v>0.00</v>
          </cell>
          <cell r="O12">
            <v>0</v>
          </cell>
          <cell r="P12">
            <v>0</v>
          </cell>
          <cell r="Q12">
            <v>0</v>
          </cell>
          <cell r="R12">
            <v>0</v>
          </cell>
          <cell r="S12">
            <v>0</v>
          </cell>
        </row>
        <row r="13">
          <cell r="E13">
            <v>-3055000000</v>
          </cell>
          <cell r="F13">
            <v>-10450000000</v>
          </cell>
          <cell r="G13" t="str">
            <v>0.00</v>
          </cell>
          <cell r="H13">
            <v>-10450000000</v>
          </cell>
          <cell r="I13" t="str">
            <v>0.00</v>
          </cell>
          <cell r="J13" t="str">
            <v>0.00</v>
          </cell>
          <cell r="K13">
            <v>10210000000</v>
          </cell>
          <cell r="L13" t="str">
            <v>0.00</v>
          </cell>
          <cell r="M13">
            <v>10210000000</v>
          </cell>
          <cell r="N13" t="str">
            <v>0.00</v>
          </cell>
          <cell r="O13">
            <v>0</v>
          </cell>
          <cell r="P13">
            <v>-3295000000</v>
          </cell>
          <cell r="Q13">
            <v>-3295000000</v>
          </cell>
          <cell r="R13">
            <v>0</v>
          </cell>
          <cell r="S13">
            <v>240000000</v>
          </cell>
        </row>
        <row r="14">
          <cell r="D14" t="str">
            <v>Benchmark Notes &amp; Bonds</v>
          </cell>
          <cell r="E14">
            <v>-97405867000</v>
          </cell>
          <cell r="F14" t="str">
            <v>0.00</v>
          </cell>
          <cell r="G14" t="str">
            <v>0.00</v>
          </cell>
          <cell r="H14" t="str">
            <v>0.00</v>
          </cell>
          <cell r="I14" t="str">
            <v>0.00</v>
          </cell>
          <cell r="J14" t="str">
            <v>0.00</v>
          </cell>
          <cell r="K14">
            <v>3136196000</v>
          </cell>
          <cell r="L14" t="str">
            <v>0.00</v>
          </cell>
          <cell r="M14">
            <v>3136196000</v>
          </cell>
          <cell r="N14" t="str">
            <v>0.00</v>
          </cell>
          <cell r="O14">
            <v>0</v>
          </cell>
          <cell r="P14">
            <v>-94269671000</v>
          </cell>
          <cell r="Q14">
            <v>-94269671000</v>
          </cell>
          <cell r="R14">
            <v>0</v>
          </cell>
          <cell r="S14">
            <v>-3136196000</v>
          </cell>
        </row>
        <row r="15">
          <cell r="D15" t="str">
            <v>Callable Fixed Rate MTN</v>
          </cell>
          <cell r="E15">
            <v>-38887790000</v>
          </cell>
          <cell r="F15" t="str">
            <v>0.00</v>
          </cell>
          <cell r="G15" t="str">
            <v>0.00</v>
          </cell>
          <cell r="H15" t="str">
            <v>0.00</v>
          </cell>
          <cell r="I15" t="str">
            <v>0.00</v>
          </cell>
          <cell r="J15">
            <v>1279000000</v>
          </cell>
          <cell r="K15" t="str">
            <v>0.00</v>
          </cell>
          <cell r="L15" t="str">
            <v>0.00</v>
          </cell>
          <cell r="M15">
            <v>1279000000</v>
          </cell>
          <cell r="N15" t="str">
            <v>0.00</v>
          </cell>
          <cell r="O15">
            <v>80000000</v>
          </cell>
          <cell r="P15">
            <v>-37528790000</v>
          </cell>
          <cell r="Q15">
            <v>-37528790000</v>
          </cell>
          <cell r="R15">
            <v>0</v>
          </cell>
          <cell r="S15">
            <v>-1359000000</v>
          </cell>
        </row>
        <row r="16">
          <cell r="D16" t="str">
            <v>Callable Floating Rate MTN</v>
          </cell>
          <cell r="E16">
            <v>0</v>
          </cell>
          <cell r="F16" t="str">
            <v>0.00</v>
          </cell>
          <cell r="G16" t="str">
            <v>0.00</v>
          </cell>
          <cell r="H16" t="str">
            <v>0.00</v>
          </cell>
          <cell r="I16" t="str">
            <v>0.00</v>
          </cell>
          <cell r="J16" t="str">
            <v>0.00</v>
          </cell>
          <cell r="K16" t="str">
            <v>0.00</v>
          </cell>
          <cell r="L16" t="str">
            <v>0.00</v>
          </cell>
          <cell r="M16" t="str">
            <v>0.00</v>
          </cell>
          <cell r="N16" t="str">
            <v>0.00</v>
          </cell>
          <cell r="O16">
            <v>0</v>
          </cell>
          <cell r="P16">
            <v>0</v>
          </cell>
          <cell r="Q16">
            <v>0</v>
          </cell>
          <cell r="R16">
            <v>0</v>
          </cell>
          <cell r="S16">
            <v>0</v>
          </cell>
        </row>
        <row r="17">
          <cell r="D17" t="str">
            <v>LT - CAS</v>
          </cell>
          <cell r="E17">
            <v>-2399182961.46</v>
          </cell>
          <cell r="F17" t="str">
            <v>0.00</v>
          </cell>
          <cell r="G17" t="str">
            <v>0.00</v>
          </cell>
          <cell r="H17" t="str">
            <v>0.00</v>
          </cell>
          <cell r="I17" t="str">
            <v>0.00</v>
          </cell>
          <cell r="J17" t="str">
            <v>0.00</v>
          </cell>
          <cell r="K17">
            <v>108258679.63</v>
          </cell>
          <cell r="L17" t="str">
            <v>0.00</v>
          </cell>
          <cell r="M17">
            <v>108258679.63</v>
          </cell>
          <cell r="N17" t="str">
            <v>0.00</v>
          </cell>
          <cell r="O17">
            <v>0</v>
          </cell>
          <cell r="P17">
            <v>-2290924281.8299999</v>
          </cell>
          <cell r="Q17">
            <v>-2290924281.8299999</v>
          </cell>
          <cell r="R17">
            <v>0</v>
          </cell>
          <cell r="S17">
            <v>-108258679.63</v>
          </cell>
        </row>
        <row r="18">
          <cell r="D18" t="str">
            <v>LT - CAS</v>
          </cell>
          <cell r="E18">
            <v>-11529475881.469999</v>
          </cell>
          <cell r="F18" t="str">
            <v>0.00</v>
          </cell>
          <cell r="G18" t="str">
            <v>0.00</v>
          </cell>
          <cell r="H18" t="str">
            <v>0.00</v>
          </cell>
          <cell r="I18" t="str">
            <v>0.00</v>
          </cell>
          <cell r="J18" t="str">
            <v>0.00</v>
          </cell>
          <cell r="K18">
            <v>28176800.539999999</v>
          </cell>
          <cell r="L18">
            <v>277744.38</v>
          </cell>
          <cell r="M18">
            <v>28454544.920000002</v>
          </cell>
          <cell r="N18" t="str">
            <v>0.00</v>
          </cell>
          <cell r="O18">
            <v>0</v>
          </cell>
          <cell r="P18">
            <v>-11501021336.549999</v>
          </cell>
          <cell r="Q18">
            <v>-11501021336.549999</v>
          </cell>
          <cell r="R18">
            <v>0</v>
          </cell>
          <cell r="S18">
            <v>-28454544.920001999</v>
          </cell>
        </row>
        <row r="19">
          <cell r="D19" t="str">
            <v>LT - FX Debt</v>
          </cell>
          <cell r="E19">
            <v>-344831713.85000002</v>
          </cell>
          <cell r="F19" t="str">
            <v>0.00</v>
          </cell>
          <cell r="G19" t="str">
            <v>0.00</v>
          </cell>
          <cell r="H19" t="str">
            <v>0.00</v>
          </cell>
          <cell r="I19" t="str">
            <v>0.00</v>
          </cell>
          <cell r="J19" t="str">
            <v>0.00</v>
          </cell>
          <cell r="K19" t="str">
            <v>0.00</v>
          </cell>
          <cell r="L19" t="str">
            <v>0.00</v>
          </cell>
          <cell r="M19" t="str">
            <v>0.00</v>
          </cell>
          <cell r="N19">
            <v>3695334.59</v>
          </cell>
          <cell r="O19">
            <v>0</v>
          </cell>
          <cell r="P19">
            <v>-341136379.25999999</v>
          </cell>
          <cell r="Q19">
            <v>-341136379.25999999</v>
          </cell>
          <cell r="R19">
            <v>0</v>
          </cell>
          <cell r="S19">
            <v>-3695334.5900000301</v>
          </cell>
        </row>
        <row r="20">
          <cell r="D20" t="str">
            <v>Non-Callable Fixed Rate MTN</v>
          </cell>
          <cell r="E20">
            <v>-8269538149.75</v>
          </cell>
          <cell r="F20" t="str">
            <v>0.00</v>
          </cell>
          <cell r="G20" t="str">
            <v>0.00</v>
          </cell>
          <cell r="H20" t="str">
            <v>0.00</v>
          </cell>
          <cell r="I20" t="str">
            <v>0.00</v>
          </cell>
          <cell r="J20" t="str">
            <v>0.00</v>
          </cell>
          <cell r="K20">
            <v>215000000</v>
          </cell>
          <cell r="L20" t="str">
            <v>0.00</v>
          </cell>
          <cell r="M20">
            <v>215000000</v>
          </cell>
          <cell r="N20" t="str">
            <v>0.00</v>
          </cell>
          <cell r="O20">
            <v>-80000000</v>
          </cell>
          <cell r="P20">
            <v>-8134538149.75</v>
          </cell>
          <cell r="Q20">
            <v>-8134538149.75</v>
          </cell>
          <cell r="R20">
            <v>0</v>
          </cell>
          <cell r="S20">
            <v>-135000000</v>
          </cell>
        </row>
        <row r="21">
          <cell r="D21" t="str">
            <v>Non-Callable Floating Rate MTN</v>
          </cell>
          <cell r="E21">
            <v>-250000000</v>
          </cell>
          <cell r="F21" t="str">
            <v>0.00</v>
          </cell>
          <cell r="G21" t="str">
            <v>0.00</v>
          </cell>
          <cell r="H21" t="str">
            <v>0.00</v>
          </cell>
          <cell r="I21" t="str">
            <v>0.00</v>
          </cell>
          <cell r="J21" t="str">
            <v>0.00</v>
          </cell>
          <cell r="K21" t="str">
            <v>0.00</v>
          </cell>
          <cell r="L21" t="str">
            <v>0.00</v>
          </cell>
          <cell r="M21" t="str">
            <v>0.00</v>
          </cell>
          <cell r="N21" t="str">
            <v>0.00</v>
          </cell>
          <cell r="O21">
            <v>0</v>
          </cell>
          <cell r="P21">
            <v>-250000000</v>
          </cell>
          <cell r="Q21">
            <v>-250000000</v>
          </cell>
          <cell r="R21">
            <v>0</v>
          </cell>
          <cell r="S21">
            <v>0</v>
          </cell>
        </row>
        <row r="22">
          <cell r="D22" t="str">
            <v>Non-Callable Floating Rate MTN</v>
          </cell>
          <cell r="E22">
            <v>-84159255000</v>
          </cell>
          <cell r="F22" t="str">
            <v>0.00</v>
          </cell>
          <cell r="G22" t="str">
            <v>0.00</v>
          </cell>
          <cell r="H22" t="str">
            <v>0.00</v>
          </cell>
          <cell r="I22" t="str">
            <v>0.00</v>
          </cell>
          <cell r="J22" t="str">
            <v>0.00</v>
          </cell>
          <cell r="K22" t="str">
            <v>0.00</v>
          </cell>
          <cell r="L22" t="str">
            <v>0.00</v>
          </cell>
          <cell r="M22" t="str">
            <v>0.00</v>
          </cell>
          <cell r="N22" t="str">
            <v>0.00</v>
          </cell>
          <cell r="O22">
            <v>0</v>
          </cell>
          <cell r="P22">
            <v>-84159255000</v>
          </cell>
          <cell r="Q22">
            <v>-84159255000</v>
          </cell>
          <cell r="R22">
            <v>0</v>
          </cell>
          <cell r="S22">
            <v>0</v>
          </cell>
        </row>
        <row r="23">
          <cell r="E23">
            <v>-243245940706.53</v>
          </cell>
          <cell r="F23" t="str">
            <v>0.00</v>
          </cell>
          <cell r="G23" t="str">
            <v>0.00</v>
          </cell>
          <cell r="H23" t="str">
            <v>0.00</v>
          </cell>
          <cell r="I23" t="str">
            <v>0.00</v>
          </cell>
          <cell r="J23">
            <v>1279000000</v>
          </cell>
          <cell r="K23">
            <v>3487631480.1700001</v>
          </cell>
          <cell r="L23">
            <v>277744.38</v>
          </cell>
          <cell r="M23">
            <v>4766909224.5500002</v>
          </cell>
          <cell r="N23">
            <v>3695334.59</v>
          </cell>
          <cell r="O23">
            <v>0</v>
          </cell>
          <cell r="P23">
            <v>-238475336147.39001</v>
          </cell>
          <cell r="Q23">
            <v>-238475336147.39001</v>
          </cell>
          <cell r="R23">
            <v>0</v>
          </cell>
          <cell r="S23">
            <v>-4770604559.1399803</v>
          </cell>
        </row>
      </sheetData>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GL Balances"/>
      <sheetName val=" Funding Summary"/>
      <sheetName val="Cover Page"/>
      <sheetName val="Summary"/>
      <sheetName val="CUSIP Details"/>
    </sheetNames>
    <sheetDataSet>
      <sheetData sheetId="0"/>
      <sheetData sheetId="1"/>
      <sheetData sheetId="2"/>
      <sheetData sheetId="3">
        <row r="5">
          <cell r="D5" t="str">
            <v>Product
Type</v>
          </cell>
          <cell r="E5" t="str">
            <v>Beginning 
Balance</v>
          </cell>
          <cell r="F5" t="str">
            <v>New Issues
(-)</v>
          </cell>
          <cell r="G5" t="str">
            <v>Re-opens
(-)</v>
          </cell>
          <cell r="H5" t="str">
            <v>Total Issuances
(-)</v>
          </cell>
          <cell r="I5" t="str">
            <v>Repurchases
(+)</v>
          </cell>
          <cell r="J5" t="str">
            <v>Calls/Puts
(+)</v>
          </cell>
          <cell r="K5" t="str">
            <v>Scheduled
Paydown/Maturites
(+)</v>
          </cell>
          <cell r="L5" t="str">
            <v>Non-Cash
Principal
Adjustment</v>
          </cell>
          <cell r="M5" t="str">
            <v>Total Redemptions
(+)</v>
          </cell>
          <cell r="N5" t="str">
            <v>FX Translation
Gain/(Loss)
(+/-)</v>
          </cell>
          <cell r="O5" t="str">
            <v>Re-Classes
(+/-)</v>
          </cell>
          <cell r="P5" t="str">
            <v>Report Calculated
Ending Balance</v>
          </cell>
          <cell r="Q5" t="str">
            <v>EDI
Ending Balance</v>
          </cell>
          <cell r="R5" t="str">
            <v>Difference</v>
          </cell>
          <cell r="S5" t="str">
            <v>MOM Change</v>
          </cell>
        </row>
        <row r="6">
          <cell r="D6" t="str">
            <v>Benchmark Repo</v>
          </cell>
          <cell r="E6">
            <v>0</v>
          </cell>
          <cell r="F6" t="str">
            <v>0.00</v>
          </cell>
          <cell r="G6" t="str">
            <v>0.00</v>
          </cell>
          <cell r="H6" t="str">
            <v>0.00</v>
          </cell>
          <cell r="I6" t="str">
            <v>0.00</v>
          </cell>
          <cell r="J6" t="str">
            <v>0.00</v>
          </cell>
          <cell r="K6" t="str">
            <v>0.00</v>
          </cell>
          <cell r="L6" t="str">
            <v>0.00</v>
          </cell>
          <cell r="M6" t="str">
            <v>0.00</v>
          </cell>
          <cell r="N6" t="str">
            <v>0.00</v>
          </cell>
          <cell r="O6">
            <v>0</v>
          </cell>
          <cell r="P6">
            <v>0</v>
          </cell>
          <cell r="Q6">
            <v>0</v>
          </cell>
          <cell r="R6">
            <v>0</v>
          </cell>
          <cell r="S6">
            <v>0</v>
          </cell>
        </row>
        <row r="7">
          <cell r="D7" t="str">
            <v>Contingency Repo</v>
          </cell>
          <cell r="E7">
            <v>0</v>
          </cell>
          <cell r="F7" t="str">
            <v>0.00</v>
          </cell>
          <cell r="G7" t="str">
            <v>0.00</v>
          </cell>
          <cell r="H7" t="str">
            <v>0.00</v>
          </cell>
          <cell r="I7" t="str">
            <v>0.00</v>
          </cell>
          <cell r="J7" t="str">
            <v>0.00</v>
          </cell>
          <cell r="K7" t="str">
            <v>0.00</v>
          </cell>
          <cell r="L7" t="str">
            <v>0.00</v>
          </cell>
          <cell r="M7" t="str">
            <v>0.00</v>
          </cell>
          <cell r="N7" t="str">
            <v>0.00</v>
          </cell>
          <cell r="O7">
            <v>0</v>
          </cell>
          <cell r="P7">
            <v>0</v>
          </cell>
          <cell r="Q7">
            <v>0</v>
          </cell>
          <cell r="R7">
            <v>0</v>
          </cell>
          <cell r="S7">
            <v>0</v>
          </cell>
        </row>
        <row r="8">
          <cell r="D8" t="str">
            <v>DVP Repo</v>
          </cell>
          <cell r="E8">
            <v>0</v>
          </cell>
          <cell r="F8">
            <v>-3424510000</v>
          </cell>
          <cell r="G8" t="str">
            <v>0.00</v>
          </cell>
          <cell r="H8">
            <v>-3424510000</v>
          </cell>
          <cell r="I8" t="str">
            <v>0.00</v>
          </cell>
          <cell r="J8" t="str">
            <v>0.00</v>
          </cell>
          <cell r="K8">
            <v>3061420000</v>
          </cell>
          <cell r="L8" t="str">
            <v>0.00</v>
          </cell>
          <cell r="M8">
            <v>3061420000</v>
          </cell>
          <cell r="N8" t="str">
            <v>0.00</v>
          </cell>
          <cell r="O8">
            <v>0</v>
          </cell>
          <cell r="P8">
            <v>-363090000</v>
          </cell>
          <cell r="Q8">
            <v>-363090000</v>
          </cell>
          <cell r="R8">
            <v>0</v>
          </cell>
          <cell r="S8">
            <v>363090000</v>
          </cell>
        </row>
        <row r="9">
          <cell r="D9" t="str">
            <v>Fed Funds Purchased</v>
          </cell>
          <cell r="E9">
            <v>0</v>
          </cell>
          <cell r="F9" t="str">
            <v>0.00</v>
          </cell>
          <cell r="G9" t="str">
            <v>0.00</v>
          </cell>
          <cell r="H9" t="str">
            <v>0.00</v>
          </cell>
          <cell r="I9" t="str">
            <v>0.00</v>
          </cell>
          <cell r="J9" t="str">
            <v>0.00</v>
          </cell>
          <cell r="K9" t="str">
            <v>0.00</v>
          </cell>
          <cell r="L9" t="str">
            <v>0.00</v>
          </cell>
          <cell r="M9" t="str">
            <v>0.00</v>
          </cell>
          <cell r="N9" t="str">
            <v>0.00</v>
          </cell>
          <cell r="O9">
            <v>0</v>
          </cell>
          <cell r="P9">
            <v>0</v>
          </cell>
          <cell r="Q9">
            <v>0</v>
          </cell>
          <cell r="R9">
            <v>0</v>
          </cell>
          <cell r="S9">
            <v>0</v>
          </cell>
        </row>
        <row r="10">
          <cell r="E10">
            <v>0</v>
          </cell>
          <cell r="F10">
            <v>-3424510000</v>
          </cell>
          <cell r="G10" t="str">
            <v>0.00</v>
          </cell>
          <cell r="H10">
            <v>-3424510000</v>
          </cell>
          <cell r="I10" t="str">
            <v>0.00</v>
          </cell>
          <cell r="J10" t="str">
            <v>0.00</v>
          </cell>
          <cell r="K10">
            <v>3061420000</v>
          </cell>
          <cell r="L10" t="str">
            <v>0.00</v>
          </cell>
          <cell r="M10">
            <v>3061420000</v>
          </cell>
          <cell r="N10" t="str">
            <v>0.00</v>
          </cell>
          <cell r="O10">
            <v>0</v>
          </cell>
          <cell r="P10">
            <v>-363090000</v>
          </cell>
          <cell r="Q10">
            <v>-363090000</v>
          </cell>
          <cell r="R10">
            <v>0</v>
          </cell>
          <cell r="S10">
            <v>363090000</v>
          </cell>
        </row>
        <row r="11">
          <cell r="D11" t="str">
            <v>ST-Debt</v>
          </cell>
          <cell r="E11">
            <v>-3295000000</v>
          </cell>
          <cell r="F11">
            <v>-9000000000</v>
          </cell>
          <cell r="G11" t="str">
            <v>0.00</v>
          </cell>
          <cell r="H11">
            <v>-9000000000</v>
          </cell>
          <cell r="I11" t="str">
            <v>0.00</v>
          </cell>
          <cell r="J11" t="str">
            <v>0.00</v>
          </cell>
          <cell r="K11">
            <v>4250000000</v>
          </cell>
          <cell r="L11" t="str">
            <v>0.00</v>
          </cell>
          <cell r="M11">
            <v>4250000000</v>
          </cell>
          <cell r="N11" t="str">
            <v>0.00</v>
          </cell>
          <cell r="O11">
            <v>0</v>
          </cell>
          <cell r="P11">
            <v>-8045000000</v>
          </cell>
          <cell r="Q11">
            <v>-8045000000</v>
          </cell>
          <cell r="R11">
            <v>0</v>
          </cell>
          <cell r="S11">
            <v>4750000000</v>
          </cell>
        </row>
        <row r="12">
          <cell r="D12" t="str">
            <v>ST - Other - Non-Callable - Floating</v>
          </cell>
          <cell r="E12">
            <v>0</v>
          </cell>
          <cell r="F12" t="str">
            <v>0.00</v>
          </cell>
          <cell r="G12" t="str">
            <v>0.00</v>
          </cell>
          <cell r="H12" t="str">
            <v>0.00</v>
          </cell>
          <cell r="I12" t="str">
            <v>0.00</v>
          </cell>
          <cell r="J12" t="str">
            <v>0.00</v>
          </cell>
          <cell r="K12" t="str">
            <v>0.00</v>
          </cell>
          <cell r="L12" t="str">
            <v>0.00</v>
          </cell>
          <cell r="M12" t="str">
            <v>0.00</v>
          </cell>
          <cell r="N12" t="str">
            <v>0.00</v>
          </cell>
          <cell r="O12">
            <v>0</v>
          </cell>
          <cell r="P12">
            <v>0</v>
          </cell>
          <cell r="Q12">
            <v>0</v>
          </cell>
          <cell r="R12">
            <v>0</v>
          </cell>
          <cell r="S12">
            <v>0</v>
          </cell>
        </row>
        <row r="13">
          <cell r="E13">
            <v>-3295000000</v>
          </cell>
          <cell r="F13">
            <v>-9000000000</v>
          </cell>
          <cell r="G13" t="str">
            <v>0.00</v>
          </cell>
          <cell r="H13">
            <v>-9000000000</v>
          </cell>
          <cell r="I13" t="str">
            <v>0.00</v>
          </cell>
          <cell r="J13" t="str">
            <v>0.00</v>
          </cell>
          <cell r="K13">
            <v>4250000000</v>
          </cell>
          <cell r="L13" t="str">
            <v>0.00</v>
          </cell>
          <cell r="M13">
            <v>4250000000</v>
          </cell>
          <cell r="N13" t="str">
            <v>0.00</v>
          </cell>
          <cell r="O13">
            <v>0</v>
          </cell>
          <cell r="P13">
            <v>-8045000000</v>
          </cell>
          <cell r="Q13">
            <v>-8045000000</v>
          </cell>
          <cell r="R13">
            <v>0</v>
          </cell>
          <cell r="S13">
            <v>4750000000</v>
          </cell>
        </row>
        <row r="14">
          <cell r="D14" t="str">
            <v>Benchmark Notes &amp; Bonds</v>
          </cell>
          <cell r="E14">
            <v>-94269671000</v>
          </cell>
          <cell r="F14" t="str">
            <v>0.00</v>
          </cell>
          <cell r="G14" t="str">
            <v>0.00</v>
          </cell>
          <cell r="H14" t="str">
            <v>0.00</v>
          </cell>
          <cell r="I14" t="str">
            <v>0.00</v>
          </cell>
          <cell r="J14" t="str">
            <v>0.00</v>
          </cell>
          <cell r="K14" t="str">
            <v>0.00</v>
          </cell>
          <cell r="L14" t="str">
            <v>0.00</v>
          </cell>
          <cell r="M14" t="str">
            <v>0.00</v>
          </cell>
          <cell r="N14" t="str">
            <v>0.00</v>
          </cell>
          <cell r="O14">
            <v>0</v>
          </cell>
          <cell r="P14">
            <v>-94269671000</v>
          </cell>
          <cell r="Q14">
            <v>-94269671000</v>
          </cell>
          <cell r="R14">
            <v>0</v>
          </cell>
          <cell r="S14">
            <v>0</v>
          </cell>
        </row>
        <row r="15">
          <cell r="D15" t="str">
            <v>Callable Fixed Rate MTN</v>
          </cell>
          <cell r="E15">
            <v>-37528790000</v>
          </cell>
          <cell r="F15">
            <v>0</v>
          </cell>
          <cell r="G15" t="str">
            <v>0.00</v>
          </cell>
          <cell r="H15">
            <v>0</v>
          </cell>
          <cell r="I15" t="str">
            <v>0.00</v>
          </cell>
          <cell r="J15">
            <v>15000000</v>
          </cell>
          <cell r="K15" t="str">
            <v>0.00</v>
          </cell>
          <cell r="L15" t="str">
            <v>0.00</v>
          </cell>
          <cell r="M15">
            <v>15000000</v>
          </cell>
          <cell r="N15" t="str">
            <v>0.00</v>
          </cell>
          <cell r="O15">
            <v>0</v>
          </cell>
          <cell r="P15">
            <v>-37513790000</v>
          </cell>
          <cell r="Q15">
            <v>-37513790000</v>
          </cell>
          <cell r="R15">
            <v>0</v>
          </cell>
          <cell r="S15">
            <v>-15000000</v>
          </cell>
        </row>
        <row r="16">
          <cell r="D16" t="str">
            <v>Callable Floating Rate MTN</v>
          </cell>
          <cell r="E16">
            <v>0</v>
          </cell>
          <cell r="F16" t="str">
            <v>0.00</v>
          </cell>
          <cell r="G16" t="str">
            <v>0.00</v>
          </cell>
          <cell r="H16" t="str">
            <v>0.00</v>
          </cell>
          <cell r="I16" t="str">
            <v>0.00</v>
          </cell>
          <cell r="J16" t="str">
            <v>0.00</v>
          </cell>
          <cell r="K16" t="str">
            <v>0.00</v>
          </cell>
          <cell r="L16" t="str">
            <v>0.00</v>
          </cell>
          <cell r="M16" t="str">
            <v>0.00</v>
          </cell>
          <cell r="N16" t="str">
            <v>0.00</v>
          </cell>
          <cell r="O16">
            <v>0</v>
          </cell>
          <cell r="P16">
            <v>0</v>
          </cell>
          <cell r="Q16">
            <v>0</v>
          </cell>
          <cell r="R16">
            <v>0</v>
          </cell>
          <cell r="S16">
            <v>0</v>
          </cell>
        </row>
        <row r="17">
          <cell r="D17" t="str">
            <v>LT - CAS</v>
          </cell>
          <cell r="E17">
            <v>-2290924281.8299999</v>
          </cell>
          <cell r="F17" t="str">
            <v>0.00</v>
          </cell>
          <cell r="G17" t="str">
            <v>0.00</v>
          </cell>
          <cell r="H17" t="str">
            <v>0.00</v>
          </cell>
          <cell r="I17" t="str">
            <v>0.00</v>
          </cell>
          <cell r="J17" t="str">
            <v>0.00</v>
          </cell>
          <cell r="K17">
            <v>90235782.739999995</v>
          </cell>
          <cell r="L17" t="str">
            <v>0.00</v>
          </cell>
          <cell r="M17">
            <v>90235782.739999995</v>
          </cell>
          <cell r="N17" t="str">
            <v>0.00</v>
          </cell>
          <cell r="O17">
            <v>0</v>
          </cell>
          <cell r="P17">
            <v>-2200688499.0900002</v>
          </cell>
          <cell r="Q17">
            <v>-2200688499.0900002</v>
          </cell>
          <cell r="R17">
            <v>0</v>
          </cell>
          <cell r="S17">
            <v>-90235782.739999294</v>
          </cell>
        </row>
        <row r="18">
          <cell r="D18" t="str">
            <v>LT - CAS</v>
          </cell>
          <cell r="E18">
            <v>-11501021336.549999</v>
          </cell>
          <cell r="F18" t="str">
            <v>0.00</v>
          </cell>
          <cell r="G18" t="str">
            <v>0.00</v>
          </cell>
          <cell r="H18" t="str">
            <v>0.00</v>
          </cell>
          <cell r="I18" t="str">
            <v>0.00</v>
          </cell>
          <cell r="J18" t="str">
            <v>0.00</v>
          </cell>
          <cell r="K18">
            <v>28075269.370000001</v>
          </cell>
          <cell r="L18">
            <v>32487.74</v>
          </cell>
          <cell r="M18">
            <v>28107757.109999999</v>
          </cell>
          <cell r="N18" t="str">
            <v>0.00</v>
          </cell>
          <cell r="O18">
            <v>0</v>
          </cell>
          <cell r="P18">
            <v>-11472913579.440001</v>
          </cell>
          <cell r="Q18">
            <v>-11472913579.440001</v>
          </cell>
          <cell r="R18">
            <v>0</v>
          </cell>
          <cell r="S18">
            <v>-28107757.110000599</v>
          </cell>
        </row>
        <row r="19">
          <cell r="D19" t="str">
            <v>LT - FX Debt</v>
          </cell>
          <cell r="E19">
            <v>-341136379.25999999</v>
          </cell>
          <cell r="F19" t="str">
            <v>0.00</v>
          </cell>
          <cell r="G19" t="str">
            <v>0.00</v>
          </cell>
          <cell r="H19" t="str">
            <v>0.00</v>
          </cell>
          <cell r="I19" t="str">
            <v>0.00</v>
          </cell>
          <cell r="J19" t="str">
            <v>0.00</v>
          </cell>
          <cell r="K19" t="str">
            <v>0.00</v>
          </cell>
          <cell r="L19" t="str">
            <v>0.00</v>
          </cell>
          <cell r="M19" t="str">
            <v>0.00</v>
          </cell>
          <cell r="N19">
            <v>6969052.4100000001</v>
          </cell>
          <cell r="O19">
            <v>0</v>
          </cell>
          <cell r="P19">
            <v>-334167326.85000002</v>
          </cell>
          <cell r="Q19">
            <v>-334167326.85000002</v>
          </cell>
          <cell r="R19">
            <v>0</v>
          </cell>
          <cell r="S19">
            <v>-6969052.4099999703</v>
          </cell>
        </row>
        <row r="20">
          <cell r="D20" t="str">
            <v>Non-Callable Fixed Rate MTN</v>
          </cell>
          <cell r="E20">
            <v>-8134538149.75</v>
          </cell>
          <cell r="F20" t="str">
            <v>0.00</v>
          </cell>
          <cell r="G20" t="str">
            <v>0.00</v>
          </cell>
          <cell r="H20" t="str">
            <v>0.00</v>
          </cell>
          <cell r="I20" t="str">
            <v>0.00</v>
          </cell>
          <cell r="J20" t="str">
            <v>0.00</v>
          </cell>
          <cell r="K20">
            <v>183544862.75</v>
          </cell>
          <cell r="L20" t="str">
            <v>0.00</v>
          </cell>
          <cell r="M20">
            <v>183544862.75</v>
          </cell>
          <cell r="N20" t="str">
            <v>0.00</v>
          </cell>
          <cell r="O20">
            <v>0</v>
          </cell>
          <cell r="P20">
            <v>-7950993287</v>
          </cell>
          <cell r="Q20">
            <v>-7950993287</v>
          </cell>
          <cell r="R20">
            <v>0</v>
          </cell>
          <cell r="S20">
            <v>-183544862.75</v>
          </cell>
        </row>
        <row r="21">
          <cell r="D21" t="str">
            <v>Non-Callable Floating Rate MTN</v>
          </cell>
          <cell r="E21">
            <v>-250000000</v>
          </cell>
          <cell r="F21" t="str">
            <v>0.00</v>
          </cell>
          <cell r="G21" t="str">
            <v>0.00</v>
          </cell>
          <cell r="H21" t="str">
            <v>0.00</v>
          </cell>
          <cell r="I21" t="str">
            <v>0.00</v>
          </cell>
          <cell r="J21" t="str">
            <v>0.00</v>
          </cell>
          <cell r="K21" t="str">
            <v>0.00</v>
          </cell>
          <cell r="L21" t="str">
            <v>0.00</v>
          </cell>
          <cell r="M21" t="str">
            <v>0.00</v>
          </cell>
          <cell r="N21" t="str">
            <v>0.00</v>
          </cell>
          <cell r="O21">
            <v>0</v>
          </cell>
          <cell r="P21">
            <v>-250000000</v>
          </cell>
          <cell r="Q21">
            <v>-250000000</v>
          </cell>
          <cell r="R21">
            <v>0</v>
          </cell>
          <cell r="S21">
            <v>0</v>
          </cell>
        </row>
        <row r="22">
          <cell r="D22" t="str">
            <v>Non-Callable Floating Rate MTN</v>
          </cell>
          <cell r="E22">
            <v>-84159255000</v>
          </cell>
          <cell r="F22" t="str">
            <v>0.00</v>
          </cell>
          <cell r="G22" t="str">
            <v>0.00</v>
          </cell>
          <cell r="H22" t="str">
            <v>0.00</v>
          </cell>
          <cell r="I22" t="str">
            <v>0.00</v>
          </cell>
          <cell r="J22" t="str">
            <v>0.00</v>
          </cell>
          <cell r="K22">
            <v>10075000000</v>
          </cell>
          <cell r="L22" t="str">
            <v>0.00</v>
          </cell>
          <cell r="M22">
            <v>10075000000</v>
          </cell>
          <cell r="N22" t="str">
            <v>0.00</v>
          </cell>
          <cell r="O22">
            <v>0</v>
          </cell>
          <cell r="P22">
            <v>-74084255000</v>
          </cell>
          <cell r="Q22">
            <v>-74084255000</v>
          </cell>
          <cell r="R22">
            <v>0</v>
          </cell>
          <cell r="S22">
            <v>-10075000000</v>
          </cell>
        </row>
        <row r="23">
          <cell r="E23">
            <v>-238475336147.39001</v>
          </cell>
          <cell r="F23">
            <v>0</v>
          </cell>
          <cell r="G23" t="str">
            <v>0.00</v>
          </cell>
          <cell r="H23">
            <v>0</v>
          </cell>
          <cell r="I23" t="str">
            <v>0.00</v>
          </cell>
          <cell r="J23">
            <v>15000000</v>
          </cell>
          <cell r="K23">
            <v>10376855914.860001</v>
          </cell>
          <cell r="L23">
            <v>32487.74</v>
          </cell>
          <cell r="M23">
            <v>10391888402.6</v>
          </cell>
          <cell r="N23">
            <v>6969052.4100000001</v>
          </cell>
          <cell r="O23">
            <v>0</v>
          </cell>
          <cell r="P23">
            <v>-228076478692.38</v>
          </cell>
          <cell r="Q23">
            <v>-228076478692.38</v>
          </cell>
          <cell r="R23">
            <v>0</v>
          </cell>
          <cell r="S23">
            <v>-10398857455.010099</v>
          </cell>
        </row>
      </sheetData>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GL Balances"/>
      <sheetName val=" Funding Summary"/>
      <sheetName val="Cover Page"/>
      <sheetName val="Summary"/>
      <sheetName val="CUSIP Details"/>
    </sheetNames>
    <sheetDataSet>
      <sheetData sheetId="0"/>
      <sheetData sheetId="1"/>
      <sheetData sheetId="2"/>
      <sheetData sheetId="3">
        <row r="5">
          <cell r="D5" t="str">
            <v>Product
Type</v>
          </cell>
          <cell r="E5" t="str">
            <v>Beginning 
Balance</v>
          </cell>
          <cell r="F5" t="str">
            <v>New Issues
(-)</v>
          </cell>
          <cell r="G5" t="str">
            <v>Re-opens
(-)</v>
          </cell>
          <cell r="H5" t="str">
            <v>Total Issuances
(-)</v>
          </cell>
          <cell r="I5" t="str">
            <v>Repurchases
(+)</v>
          </cell>
          <cell r="J5" t="str">
            <v>Calls/Puts
(+)</v>
          </cell>
          <cell r="K5" t="str">
            <v>Scheduled
Paydown/Maturites
(+)</v>
          </cell>
          <cell r="L5" t="str">
            <v>Non-Cash
Principal
Adjustment</v>
          </cell>
          <cell r="M5" t="str">
            <v>Total Redemptions
(+)</v>
          </cell>
          <cell r="N5" t="str">
            <v>FX Translation
Gain/(Loss)
(+/-)</v>
          </cell>
          <cell r="O5" t="str">
            <v>Re-Classes
(+/-)</v>
          </cell>
          <cell r="P5" t="str">
            <v>Report Calculated
Ending Balance</v>
          </cell>
          <cell r="Q5" t="str">
            <v>EDI
Ending Balance</v>
          </cell>
          <cell r="R5" t="str">
            <v>Difference</v>
          </cell>
          <cell r="S5" t="str">
            <v>MOM Change</v>
          </cell>
        </row>
        <row r="6">
          <cell r="D6" t="str">
            <v>Benchmark Repo</v>
          </cell>
          <cell r="E6">
            <v>0</v>
          </cell>
          <cell r="F6" t="str">
            <v>0.00</v>
          </cell>
          <cell r="G6" t="str">
            <v>0.00</v>
          </cell>
          <cell r="H6" t="str">
            <v>0.00</v>
          </cell>
          <cell r="I6" t="str">
            <v>0.00</v>
          </cell>
          <cell r="J6" t="str">
            <v>0.00</v>
          </cell>
          <cell r="K6" t="str">
            <v>0.00</v>
          </cell>
          <cell r="L6" t="str">
            <v>0.00</v>
          </cell>
          <cell r="M6" t="str">
            <v>0.00</v>
          </cell>
          <cell r="N6" t="str">
            <v>0.00</v>
          </cell>
          <cell r="O6">
            <v>0</v>
          </cell>
          <cell r="P6">
            <v>0</v>
          </cell>
          <cell r="Q6">
            <v>0</v>
          </cell>
          <cell r="R6">
            <v>0</v>
          </cell>
          <cell r="S6">
            <v>0</v>
          </cell>
        </row>
        <row r="7">
          <cell r="D7" t="str">
            <v>Contingency Repo</v>
          </cell>
          <cell r="E7">
            <v>0</v>
          </cell>
          <cell r="F7" t="str">
            <v>0.00</v>
          </cell>
          <cell r="G7" t="str">
            <v>0.00</v>
          </cell>
          <cell r="H7" t="str">
            <v>0.00</v>
          </cell>
          <cell r="I7" t="str">
            <v>0.00</v>
          </cell>
          <cell r="J7" t="str">
            <v>0.00</v>
          </cell>
          <cell r="K7" t="str">
            <v>0.00</v>
          </cell>
          <cell r="L7" t="str">
            <v>0.00</v>
          </cell>
          <cell r="M7" t="str">
            <v>0.00</v>
          </cell>
          <cell r="N7" t="str">
            <v>0.00</v>
          </cell>
          <cell r="O7">
            <v>0</v>
          </cell>
          <cell r="P7">
            <v>0</v>
          </cell>
          <cell r="Q7">
            <v>0</v>
          </cell>
          <cell r="R7">
            <v>0</v>
          </cell>
          <cell r="S7">
            <v>0</v>
          </cell>
        </row>
        <row r="8">
          <cell r="D8" t="str">
            <v>DVP Repo</v>
          </cell>
          <cell r="E8">
            <v>-363090000</v>
          </cell>
          <cell r="F8">
            <v>-3329353750</v>
          </cell>
          <cell r="G8" t="str">
            <v>0.00</v>
          </cell>
          <cell r="H8">
            <v>-3329353750</v>
          </cell>
          <cell r="I8" t="str">
            <v>0.00</v>
          </cell>
          <cell r="J8" t="str">
            <v>0.00</v>
          </cell>
          <cell r="K8">
            <v>3692443750</v>
          </cell>
          <cell r="L8" t="str">
            <v>0.00</v>
          </cell>
          <cell r="M8">
            <v>3692443750</v>
          </cell>
          <cell r="N8" t="str">
            <v>0.00</v>
          </cell>
          <cell r="O8">
            <v>0</v>
          </cell>
          <cell r="P8">
            <v>0</v>
          </cell>
          <cell r="Q8">
            <v>0</v>
          </cell>
          <cell r="R8">
            <v>0</v>
          </cell>
          <cell r="S8">
            <v>-363090000</v>
          </cell>
        </row>
        <row r="9">
          <cell r="D9" t="str">
            <v>Fed Funds Purchased</v>
          </cell>
          <cell r="E9">
            <v>0</v>
          </cell>
          <cell r="F9" t="str">
            <v>0.00</v>
          </cell>
          <cell r="G9" t="str">
            <v>0.00</v>
          </cell>
          <cell r="H9" t="str">
            <v>0.00</v>
          </cell>
          <cell r="I9" t="str">
            <v>0.00</v>
          </cell>
          <cell r="J9" t="str">
            <v>0.00</v>
          </cell>
          <cell r="K9" t="str">
            <v>0.00</v>
          </cell>
          <cell r="L9" t="str">
            <v>0.00</v>
          </cell>
          <cell r="M9" t="str">
            <v>0.00</v>
          </cell>
          <cell r="N9" t="str">
            <v>0.00</v>
          </cell>
          <cell r="O9">
            <v>0</v>
          </cell>
          <cell r="P9">
            <v>0</v>
          </cell>
          <cell r="Q9">
            <v>0</v>
          </cell>
          <cell r="R9">
            <v>0</v>
          </cell>
          <cell r="S9">
            <v>0</v>
          </cell>
        </row>
        <row r="10">
          <cell r="E10">
            <v>-363090000</v>
          </cell>
          <cell r="F10">
            <v>-3329353750</v>
          </cell>
          <cell r="G10" t="str">
            <v>0.00</v>
          </cell>
          <cell r="H10">
            <v>-3329353750</v>
          </cell>
          <cell r="I10" t="str">
            <v>0.00</v>
          </cell>
          <cell r="J10" t="str">
            <v>0.00</v>
          </cell>
          <cell r="K10">
            <v>3692443750</v>
          </cell>
          <cell r="L10" t="str">
            <v>0.00</v>
          </cell>
          <cell r="M10">
            <v>3692443750</v>
          </cell>
          <cell r="N10" t="str">
            <v>0.00</v>
          </cell>
          <cell r="O10">
            <v>0</v>
          </cell>
          <cell r="P10">
            <v>0</v>
          </cell>
          <cell r="Q10">
            <v>0</v>
          </cell>
          <cell r="R10">
            <v>0</v>
          </cell>
          <cell r="S10">
            <v>-363090000</v>
          </cell>
        </row>
        <row r="11">
          <cell r="D11" t="str">
            <v>ST-Debt</v>
          </cell>
          <cell r="E11">
            <v>-8045000000</v>
          </cell>
          <cell r="F11">
            <v>-19020000000</v>
          </cell>
          <cell r="G11" t="str">
            <v>0.00</v>
          </cell>
          <cell r="H11">
            <v>-19020000000</v>
          </cell>
          <cell r="I11" t="str">
            <v>0.00</v>
          </cell>
          <cell r="J11" t="str">
            <v>0.00</v>
          </cell>
          <cell r="K11">
            <v>24020000000</v>
          </cell>
          <cell r="L11" t="str">
            <v>0.00</v>
          </cell>
          <cell r="M11">
            <v>24020000000</v>
          </cell>
          <cell r="N11" t="str">
            <v>0.00</v>
          </cell>
          <cell r="O11">
            <v>0</v>
          </cell>
          <cell r="P11">
            <v>-3045000000</v>
          </cell>
          <cell r="Q11">
            <v>-3045000000</v>
          </cell>
          <cell r="R11">
            <v>0</v>
          </cell>
          <cell r="S11">
            <v>-5000000000</v>
          </cell>
        </row>
        <row r="12">
          <cell r="D12" t="str">
            <v>ST - Other - Non-Callable - Floating</v>
          </cell>
          <cell r="E12">
            <v>0</v>
          </cell>
          <cell r="F12" t="str">
            <v>0.00</v>
          </cell>
          <cell r="G12" t="str">
            <v>0.00</v>
          </cell>
          <cell r="H12" t="str">
            <v>0.00</v>
          </cell>
          <cell r="I12" t="str">
            <v>0.00</v>
          </cell>
          <cell r="J12" t="str">
            <v>0.00</v>
          </cell>
          <cell r="K12" t="str">
            <v>0.00</v>
          </cell>
          <cell r="L12" t="str">
            <v>0.00</v>
          </cell>
          <cell r="M12" t="str">
            <v>0.00</v>
          </cell>
          <cell r="N12" t="str">
            <v>0.00</v>
          </cell>
          <cell r="O12">
            <v>0</v>
          </cell>
          <cell r="P12">
            <v>0</v>
          </cell>
          <cell r="Q12">
            <v>0</v>
          </cell>
          <cell r="R12">
            <v>0</v>
          </cell>
          <cell r="S12">
            <v>0</v>
          </cell>
        </row>
        <row r="13">
          <cell r="E13">
            <v>-8045000000</v>
          </cell>
          <cell r="F13">
            <v>-19020000000</v>
          </cell>
          <cell r="G13" t="str">
            <v>0.00</v>
          </cell>
          <cell r="H13">
            <v>-19020000000</v>
          </cell>
          <cell r="I13" t="str">
            <v>0.00</v>
          </cell>
          <cell r="J13" t="str">
            <v>0.00</v>
          </cell>
          <cell r="K13">
            <v>24020000000</v>
          </cell>
          <cell r="L13" t="str">
            <v>0.00</v>
          </cell>
          <cell r="M13">
            <v>24020000000</v>
          </cell>
          <cell r="N13" t="str">
            <v>0.00</v>
          </cell>
          <cell r="O13">
            <v>0</v>
          </cell>
          <cell r="P13">
            <v>-3045000000</v>
          </cell>
          <cell r="Q13">
            <v>-3045000000</v>
          </cell>
          <cell r="R13">
            <v>0</v>
          </cell>
          <cell r="S13">
            <v>-5000000000</v>
          </cell>
        </row>
        <row r="14">
          <cell r="D14" t="str">
            <v>Benchmark Notes &amp; Bonds</v>
          </cell>
          <cell r="E14">
            <v>-94269671000</v>
          </cell>
          <cell r="F14" t="str">
            <v>0.00</v>
          </cell>
          <cell r="G14" t="str">
            <v>0.00</v>
          </cell>
          <cell r="H14" t="str">
            <v>0.00</v>
          </cell>
          <cell r="I14" t="str">
            <v>0.00</v>
          </cell>
          <cell r="J14" t="str">
            <v>0.00</v>
          </cell>
          <cell r="K14">
            <v>3299683000</v>
          </cell>
          <cell r="L14" t="str">
            <v>0.00</v>
          </cell>
          <cell r="M14">
            <v>3299683000</v>
          </cell>
          <cell r="N14" t="str">
            <v>0.00</v>
          </cell>
          <cell r="O14">
            <v>0</v>
          </cell>
          <cell r="P14">
            <v>-90969988000</v>
          </cell>
          <cell r="Q14">
            <v>-90969988000</v>
          </cell>
          <cell r="R14">
            <v>0</v>
          </cell>
          <cell r="S14">
            <v>-3299683000</v>
          </cell>
        </row>
        <row r="15">
          <cell r="D15" t="str">
            <v>Callable Fixed Rate MTN</v>
          </cell>
          <cell r="E15">
            <v>-37513790000</v>
          </cell>
          <cell r="F15" t="str">
            <v>0.00</v>
          </cell>
          <cell r="G15" t="str">
            <v>0.00</v>
          </cell>
          <cell r="H15" t="str">
            <v>0.00</v>
          </cell>
          <cell r="I15" t="str">
            <v>0.00</v>
          </cell>
          <cell r="J15" t="str">
            <v>0.00</v>
          </cell>
          <cell r="K15" t="str">
            <v>0.00</v>
          </cell>
          <cell r="L15" t="str">
            <v>0.00</v>
          </cell>
          <cell r="M15" t="str">
            <v>0.00</v>
          </cell>
          <cell r="N15" t="str">
            <v>0.00</v>
          </cell>
          <cell r="O15">
            <v>100000000</v>
          </cell>
          <cell r="P15">
            <v>-37413790000</v>
          </cell>
          <cell r="Q15">
            <v>-37413790000</v>
          </cell>
          <cell r="R15">
            <v>0</v>
          </cell>
          <cell r="S15">
            <v>-100000000</v>
          </cell>
        </row>
        <row r="16">
          <cell r="D16" t="str">
            <v>Callable Floating Rate MTN</v>
          </cell>
          <cell r="E16">
            <v>0</v>
          </cell>
          <cell r="F16" t="str">
            <v>0.00</v>
          </cell>
          <cell r="G16" t="str">
            <v>0.00</v>
          </cell>
          <cell r="H16" t="str">
            <v>0.00</v>
          </cell>
          <cell r="I16" t="str">
            <v>0.00</v>
          </cell>
          <cell r="J16" t="str">
            <v>0.00</v>
          </cell>
          <cell r="K16" t="str">
            <v>0.00</v>
          </cell>
          <cell r="L16" t="str">
            <v>0.00</v>
          </cell>
          <cell r="M16" t="str">
            <v>0.00</v>
          </cell>
          <cell r="N16" t="str">
            <v>0.00</v>
          </cell>
          <cell r="O16">
            <v>0</v>
          </cell>
          <cell r="P16">
            <v>0</v>
          </cell>
          <cell r="Q16">
            <v>0</v>
          </cell>
          <cell r="R16">
            <v>0</v>
          </cell>
          <cell r="S16">
            <v>0</v>
          </cell>
        </row>
        <row r="17">
          <cell r="D17" t="str">
            <v>LT - CAS</v>
          </cell>
          <cell r="E17">
            <v>-2200688499.0900002</v>
          </cell>
          <cell r="F17" t="str">
            <v>0.00</v>
          </cell>
          <cell r="G17" t="str">
            <v>0.00</v>
          </cell>
          <cell r="H17" t="str">
            <v>0.00</v>
          </cell>
          <cell r="I17" t="str">
            <v>0.00</v>
          </cell>
          <cell r="J17" t="str">
            <v>0.00</v>
          </cell>
          <cell r="K17">
            <v>85011117.329999998</v>
          </cell>
          <cell r="L17" t="str">
            <v>0.00</v>
          </cell>
          <cell r="M17">
            <v>85011117.329999998</v>
          </cell>
          <cell r="N17" t="str">
            <v>0.00</v>
          </cell>
          <cell r="O17">
            <v>0</v>
          </cell>
          <cell r="P17">
            <v>-2115677381.76</v>
          </cell>
          <cell r="Q17">
            <v>-2115677381.76</v>
          </cell>
          <cell r="R17">
            <v>0</v>
          </cell>
          <cell r="S17">
            <v>-85011117.330001399</v>
          </cell>
        </row>
        <row r="18">
          <cell r="D18" t="str">
            <v>LT - CAS</v>
          </cell>
          <cell r="E18">
            <v>-11472913579.440001</v>
          </cell>
          <cell r="F18" t="str">
            <v>0.00</v>
          </cell>
          <cell r="G18" t="str">
            <v>0.00</v>
          </cell>
          <cell r="H18" t="str">
            <v>0.00</v>
          </cell>
          <cell r="I18" t="str">
            <v>0.00</v>
          </cell>
          <cell r="J18" t="str">
            <v>0.00</v>
          </cell>
          <cell r="K18">
            <v>27626726.690000001</v>
          </cell>
          <cell r="L18">
            <v>-45173.64</v>
          </cell>
          <cell r="M18">
            <v>27581553.050000001</v>
          </cell>
          <cell r="N18" t="str">
            <v>0.00</v>
          </cell>
          <cell r="O18">
            <v>0</v>
          </cell>
          <cell r="P18">
            <v>-11445332026.389999</v>
          </cell>
          <cell r="Q18">
            <v>-11445332026.389999</v>
          </cell>
          <cell r="R18">
            <v>0</v>
          </cell>
          <cell r="S18">
            <v>-27581553.0499992</v>
          </cell>
        </row>
        <row r="19">
          <cell r="D19" t="str">
            <v>LT - FX Debt</v>
          </cell>
          <cell r="E19">
            <v>-334167326.85000002</v>
          </cell>
          <cell r="F19" t="str">
            <v>0.00</v>
          </cell>
          <cell r="G19" t="str">
            <v>0.00</v>
          </cell>
          <cell r="H19" t="str">
            <v>0.00</v>
          </cell>
          <cell r="I19" t="str">
            <v>0.00</v>
          </cell>
          <cell r="J19" t="str">
            <v>0.00</v>
          </cell>
          <cell r="K19" t="str">
            <v>0.00</v>
          </cell>
          <cell r="L19" t="str">
            <v>0.00</v>
          </cell>
          <cell r="M19" t="str">
            <v>0.00</v>
          </cell>
          <cell r="N19">
            <v>-5158586.95</v>
          </cell>
          <cell r="O19">
            <v>0</v>
          </cell>
          <cell r="P19">
            <v>-339325913.80000001</v>
          </cell>
          <cell r="Q19">
            <v>-339325913.80000001</v>
          </cell>
          <cell r="R19">
            <v>0</v>
          </cell>
          <cell r="S19">
            <v>5158586.9499999899</v>
          </cell>
        </row>
        <row r="20">
          <cell r="D20" t="str">
            <v>Non-Callable Fixed Rate MTN</v>
          </cell>
          <cell r="E20">
            <v>-7950993287</v>
          </cell>
          <cell r="F20" t="str">
            <v>0.00</v>
          </cell>
          <cell r="G20" t="str">
            <v>0.00</v>
          </cell>
          <cell r="H20" t="str">
            <v>0.00</v>
          </cell>
          <cell r="I20" t="str">
            <v>0.00</v>
          </cell>
          <cell r="J20" t="str">
            <v>0.00</v>
          </cell>
          <cell r="K20">
            <v>20816043</v>
          </cell>
          <cell r="L20" t="str">
            <v>0.00</v>
          </cell>
          <cell r="M20">
            <v>20816043</v>
          </cell>
          <cell r="N20" t="str">
            <v>0.00</v>
          </cell>
          <cell r="O20">
            <v>-100000000</v>
          </cell>
          <cell r="P20">
            <v>-8030177244</v>
          </cell>
          <cell r="Q20">
            <v>-8030177244</v>
          </cell>
          <cell r="R20">
            <v>0</v>
          </cell>
          <cell r="S20">
            <v>79183957</v>
          </cell>
        </row>
        <row r="21">
          <cell r="D21" t="str">
            <v>Non-Callable Floating Rate MTN</v>
          </cell>
          <cell r="E21">
            <v>-250000000</v>
          </cell>
          <cell r="F21" t="str">
            <v>0.00</v>
          </cell>
          <cell r="G21" t="str">
            <v>0.00</v>
          </cell>
          <cell r="H21" t="str">
            <v>0.00</v>
          </cell>
          <cell r="I21" t="str">
            <v>0.00</v>
          </cell>
          <cell r="J21" t="str">
            <v>0.00</v>
          </cell>
          <cell r="K21" t="str">
            <v>0.00</v>
          </cell>
          <cell r="L21" t="str">
            <v>0.00</v>
          </cell>
          <cell r="M21" t="str">
            <v>0.00</v>
          </cell>
          <cell r="N21" t="str">
            <v>0.00</v>
          </cell>
          <cell r="O21">
            <v>0</v>
          </cell>
          <cell r="P21">
            <v>-250000000</v>
          </cell>
          <cell r="Q21">
            <v>-250000000</v>
          </cell>
          <cell r="R21">
            <v>0</v>
          </cell>
          <cell r="S21">
            <v>0</v>
          </cell>
        </row>
        <row r="22">
          <cell r="D22" t="str">
            <v>Non-Callable Floating Rate MTN</v>
          </cell>
          <cell r="E22">
            <v>-74084255000</v>
          </cell>
          <cell r="F22" t="str">
            <v>0.00</v>
          </cell>
          <cell r="G22" t="str">
            <v>0.00</v>
          </cell>
          <cell r="H22" t="str">
            <v>0.00</v>
          </cell>
          <cell r="I22" t="str">
            <v>0.00</v>
          </cell>
          <cell r="J22" t="str">
            <v>0.00</v>
          </cell>
          <cell r="K22">
            <v>16910000000</v>
          </cell>
          <cell r="L22" t="str">
            <v>0.00</v>
          </cell>
          <cell r="M22">
            <v>16910000000</v>
          </cell>
          <cell r="N22" t="str">
            <v>0.00</v>
          </cell>
          <cell r="O22">
            <v>0</v>
          </cell>
          <cell r="P22">
            <v>-57174255000</v>
          </cell>
          <cell r="Q22">
            <v>-57174255000</v>
          </cell>
          <cell r="R22">
            <v>0</v>
          </cell>
          <cell r="S22">
            <v>-16910000000</v>
          </cell>
        </row>
        <row r="23">
          <cell r="E23">
            <v>-228076478692.38</v>
          </cell>
          <cell r="F23" t="str">
            <v>0.00</v>
          </cell>
          <cell r="G23" t="str">
            <v>0.00</v>
          </cell>
          <cell r="H23" t="str">
            <v>0.00</v>
          </cell>
          <cell r="I23" t="str">
            <v>0.00</v>
          </cell>
          <cell r="J23" t="str">
            <v>0.00</v>
          </cell>
          <cell r="K23">
            <v>20343136887.02</v>
          </cell>
          <cell r="L23">
            <v>-45173.64</v>
          </cell>
          <cell r="M23">
            <v>20343091713.380001</v>
          </cell>
          <cell r="N23">
            <v>-5158586.95</v>
          </cell>
          <cell r="O23">
            <v>0</v>
          </cell>
          <cell r="P23">
            <v>-207738545565.95001</v>
          </cell>
          <cell r="Q23">
            <v>-207738545565.95001</v>
          </cell>
          <cell r="R23">
            <v>0</v>
          </cell>
          <cell r="S23">
            <v>-20337933126.43</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GL Balances"/>
      <sheetName val=" Funding Summary"/>
      <sheetName val="Cover Page"/>
      <sheetName val="Summary"/>
      <sheetName val="CUSIP Details"/>
    </sheetNames>
    <sheetDataSet>
      <sheetData sheetId="0"/>
      <sheetData sheetId="1"/>
      <sheetData sheetId="2"/>
      <sheetData sheetId="3">
        <row r="5">
          <cell r="D5" t="str">
            <v>Product
Type</v>
          </cell>
          <cell r="E5" t="str">
            <v>Beginning 
Balance</v>
          </cell>
          <cell r="F5" t="str">
            <v>New Issues
(-)</v>
          </cell>
          <cell r="G5" t="str">
            <v>Re-opens
(-)</v>
          </cell>
          <cell r="H5" t="str">
            <v>Total Issuances
(-)</v>
          </cell>
          <cell r="I5" t="str">
            <v>Repurchases
(+)</v>
          </cell>
          <cell r="J5" t="str">
            <v>Calls/Puts
(+)</v>
          </cell>
          <cell r="K5" t="str">
            <v>Scheduled
Paydown/Maturites
(+)</v>
          </cell>
          <cell r="L5" t="str">
            <v>Non-Cash
Principal
Adjustment</v>
          </cell>
          <cell r="M5" t="str">
            <v>Total Redemptions
(+)</v>
          </cell>
          <cell r="N5" t="str">
            <v>FX Translation
Gain/(Loss)
(+/-)</v>
          </cell>
          <cell r="O5" t="str">
            <v>Re-Classes
(+/-)</v>
          </cell>
          <cell r="P5" t="str">
            <v>Report Calculated
Ending Balance</v>
          </cell>
          <cell r="Q5" t="str">
            <v>EDI
Ending Balance</v>
          </cell>
          <cell r="R5" t="str">
            <v>Difference</v>
          </cell>
          <cell r="S5" t="str">
            <v>MOM Change</v>
          </cell>
        </row>
        <row r="6">
          <cell r="D6" t="str">
            <v>Benchmark Repo</v>
          </cell>
          <cell r="E6">
            <v>0</v>
          </cell>
          <cell r="F6" t="str">
            <v>0.00</v>
          </cell>
          <cell r="G6" t="str">
            <v>0.00</v>
          </cell>
          <cell r="H6" t="str">
            <v>0.00</v>
          </cell>
          <cell r="I6" t="str">
            <v>0.00</v>
          </cell>
          <cell r="J6" t="str">
            <v>0.00</v>
          </cell>
          <cell r="K6" t="str">
            <v>0.00</v>
          </cell>
          <cell r="L6" t="str">
            <v>0.00</v>
          </cell>
          <cell r="M6" t="str">
            <v>0.00</v>
          </cell>
          <cell r="N6" t="str">
            <v>0.00</v>
          </cell>
          <cell r="O6">
            <v>0</v>
          </cell>
          <cell r="P6">
            <v>0</v>
          </cell>
          <cell r="Q6">
            <v>0</v>
          </cell>
          <cell r="R6">
            <v>0</v>
          </cell>
          <cell r="S6">
            <v>0</v>
          </cell>
        </row>
        <row r="7">
          <cell r="D7" t="str">
            <v>Contingency Repo</v>
          </cell>
          <cell r="E7">
            <v>0</v>
          </cell>
          <cell r="F7" t="str">
            <v>0.00</v>
          </cell>
          <cell r="G7" t="str">
            <v>0.00</v>
          </cell>
          <cell r="H7" t="str">
            <v>0.00</v>
          </cell>
          <cell r="I7" t="str">
            <v>0.00</v>
          </cell>
          <cell r="J7" t="str">
            <v>0.00</v>
          </cell>
          <cell r="K7" t="str">
            <v>0.00</v>
          </cell>
          <cell r="L7" t="str">
            <v>0.00</v>
          </cell>
          <cell r="M7" t="str">
            <v>0.00</v>
          </cell>
          <cell r="N7" t="str">
            <v>0.00</v>
          </cell>
          <cell r="O7">
            <v>0</v>
          </cell>
          <cell r="P7">
            <v>0</v>
          </cell>
          <cell r="Q7">
            <v>0</v>
          </cell>
          <cell r="R7">
            <v>0</v>
          </cell>
          <cell r="S7">
            <v>0</v>
          </cell>
        </row>
        <row r="8">
          <cell r="D8" t="str">
            <v>DVP Repo</v>
          </cell>
          <cell r="E8">
            <v>0</v>
          </cell>
          <cell r="F8">
            <v>-3724976250</v>
          </cell>
          <cell r="G8" t="str">
            <v>0.00</v>
          </cell>
          <cell r="H8">
            <v>-3724976250</v>
          </cell>
          <cell r="I8" t="str">
            <v>0.00</v>
          </cell>
          <cell r="J8" t="str">
            <v>0.00</v>
          </cell>
          <cell r="K8">
            <v>3724976250</v>
          </cell>
          <cell r="L8" t="str">
            <v>0.00</v>
          </cell>
          <cell r="M8">
            <v>3724976250</v>
          </cell>
          <cell r="N8" t="str">
            <v>0.00</v>
          </cell>
          <cell r="O8">
            <v>0</v>
          </cell>
          <cell r="P8">
            <v>0</v>
          </cell>
          <cell r="Q8">
            <v>0</v>
          </cell>
          <cell r="R8">
            <v>0</v>
          </cell>
          <cell r="S8">
            <v>0</v>
          </cell>
        </row>
        <row r="9">
          <cell r="D9" t="str">
            <v>Fed Funds Purchased</v>
          </cell>
          <cell r="E9">
            <v>0</v>
          </cell>
          <cell r="F9" t="str">
            <v>0.00</v>
          </cell>
          <cell r="G9" t="str">
            <v>0.00</v>
          </cell>
          <cell r="H9" t="str">
            <v>0.00</v>
          </cell>
          <cell r="I9" t="str">
            <v>0.00</v>
          </cell>
          <cell r="J9" t="str">
            <v>0.00</v>
          </cell>
          <cell r="K9" t="str">
            <v>0.00</v>
          </cell>
          <cell r="L9" t="str">
            <v>0.00</v>
          </cell>
          <cell r="M9" t="str">
            <v>0.00</v>
          </cell>
          <cell r="N9" t="str">
            <v>0.00</v>
          </cell>
          <cell r="O9">
            <v>0</v>
          </cell>
          <cell r="P9">
            <v>0</v>
          </cell>
          <cell r="Q9">
            <v>0</v>
          </cell>
          <cell r="R9">
            <v>0</v>
          </cell>
          <cell r="S9">
            <v>0</v>
          </cell>
        </row>
        <row r="10">
          <cell r="E10">
            <v>0</v>
          </cell>
          <cell r="F10">
            <v>-3724976250</v>
          </cell>
          <cell r="G10" t="str">
            <v>0.00</v>
          </cell>
          <cell r="H10">
            <v>-3724976250</v>
          </cell>
          <cell r="I10" t="str">
            <v>0.00</v>
          </cell>
          <cell r="J10" t="str">
            <v>0.00</v>
          </cell>
          <cell r="K10">
            <v>3724976250</v>
          </cell>
          <cell r="L10" t="str">
            <v>0.00</v>
          </cell>
          <cell r="M10">
            <v>3724976250</v>
          </cell>
          <cell r="N10" t="str">
            <v>0.00</v>
          </cell>
          <cell r="O10">
            <v>0</v>
          </cell>
          <cell r="P10">
            <v>0</v>
          </cell>
          <cell r="Q10">
            <v>0</v>
          </cell>
          <cell r="R10">
            <v>0</v>
          </cell>
          <cell r="S10">
            <v>0</v>
          </cell>
        </row>
        <row r="11">
          <cell r="D11" t="str">
            <v>ST-Debt</v>
          </cell>
          <cell r="E11">
            <v>-3045000000</v>
          </cell>
          <cell r="F11">
            <v>-875000000</v>
          </cell>
          <cell r="G11" t="str">
            <v>0.00</v>
          </cell>
          <cell r="H11">
            <v>-875000000</v>
          </cell>
          <cell r="I11" t="str">
            <v>0.00</v>
          </cell>
          <cell r="J11" t="str">
            <v>0.00</v>
          </cell>
          <cell r="K11">
            <v>875000000</v>
          </cell>
          <cell r="L11" t="str">
            <v>0.00</v>
          </cell>
          <cell r="M11">
            <v>875000000</v>
          </cell>
          <cell r="N11" t="str">
            <v>0.00</v>
          </cell>
          <cell r="O11">
            <v>0</v>
          </cell>
          <cell r="P11">
            <v>-3045000000</v>
          </cell>
          <cell r="Q11">
            <v>-3045000000</v>
          </cell>
          <cell r="R11">
            <v>0</v>
          </cell>
          <cell r="S11">
            <v>0</v>
          </cell>
        </row>
        <row r="12">
          <cell r="D12" t="str">
            <v>ST - Other - Non-Callable - Floating</v>
          </cell>
          <cell r="E12">
            <v>0</v>
          </cell>
          <cell r="F12" t="str">
            <v>0.00</v>
          </cell>
          <cell r="G12" t="str">
            <v>0.00</v>
          </cell>
          <cell r="H12" t="str">
            <v>0.00</v>
          </cell>
          <cell r="I12" t="str">
            <v>0.00</v>
          </cell>
          <cell r="J12" t="str">
            <v>0.00</v>
          </cell>
          <cell r="K12" t="str">
            <v>0.00</v>
          </cell>
          <cell r="L12" t="str">
            <v>0.00</v>
          </cell>
          <cell r="M12" t="str">
            <v>0.00</v>
          </cell>
          <cell r="N12" t="str">
            <v>0.00</v>
          </cell>
          <cell r="O12">
            <v>0</v>
          </cell>
          <cell r="P12">
            <v>0</v>
          </cell>
          <cell r="Q12">
            <v>0</v>
          </cell>
          <cell r="R12">
            <v>0</v>
          </cell>
          <cell r="S12">
            <v>0</v>
          </cell>
        </row>
        <row r="13">
          <cell r="E13">
            <v>-3045000000</v>
          </cell>
          <cell r="F13">
            <v>-875000000</v>
          </cell>
          <cell r="G13" t="str">
            <v>0.00</v>
          </cell>
          <cell r="H13">
            <v>-875000000</v>
          </cell>
          <cell r="I13" t="str">
            <v>0.00</v>
          </cell>
          <cell r="J13" t="str">
            <v>0.00</v>
          </cell>
          <cell r="K13">
            <v>875000000</v>
          </cell>
          <cell r="L13" t="str">
            <v>0.00</v>
          </cell>
          <cell r="M13">
            <v>875000000</v>
          </cell>
          <cell r="N13" t="str">
            <v>0.00</v>
          </cell>
          <cell r="O13">
            <v>0</v>
          </cell>
          <cell r="P13">
            <v>-3045000000</v>
          </cell>
          <cell r="Q13">
            <v>-3045000000</v>
          </cell>
          <cell r="R13">
            <v>0</v>
          </cell>
          <cell r="S13">
            <v>0</v>
          </cell>
        </row>
        <row r="14">
          <cell r="D14" t="str">
            <v>Benchmark Notes &amp; Bonds</v>
          </cell>
          <cell r="E14">
            <v>-90969988000</v>
          </cell>
          <cell r="F14" t="str">
            <v>0.00</v>
          </cell>
          <cell r="G14" t="str">
            <v>0.00</v>
          </cell>
          <cell r="H14" t="str">
            <v>0.00</v>
          </cell>
          <cell r="I14" t="str">
            <v>0.00</v>
          </cell>
          <cell r="J14" t="str">
            <v>0.00</v>
          </cell>
          <cell r="K14" t="str">
            <v>0.00</v>
          </cell>
          <cell r="L14" t="str">
            <v>0.00</v>
          </cell>
          <cell r="M14" t="str">
            <v>0.00</v>
          </cell>
          <cell r="N14" t="str">
            <v>0.00</v>
          </cell>
          <cell r="O14">
            <v>0</v>
          </cell>
          <cell r="P14">
            <v>-90969988000</v>
          </cell>
          <cell r="Q14">
            <v>-90969988000</v>
          </cell>
          <cell r="R14">
            <v>0</v>
          </cell>
          <cell r="S14">
            <v>0</v>
          </cell>
        </row>
        <row r="15">
          <cell r="D15" t="str">
            <v>Callable Fixed Rate MTN</v>
          </cell>
          <cell r="E15">
            <v>-37413790000</v>
          </cell>
          <cell r="F15" t="str">
            <v>0.00</v>
          </cell>
          <cell r="G15" t="str">
            <v>0.00</v>
          </cell>
          <cell r="H15" t="str">
            <v>0.00</v>
          </cell>
          <cell r="I15" t="str">
            <v>0.00</v>
          </cell>
          <cell r="J15" t="str">
            <v>0.00</v>
          </cell>
          <cell r="K15" t="str">
            <v>0.00</v>
          </cell>
          <cell r="L15" t="str">
            <v>0.00</v>
          </cell>
          <cell r="M15" t="str">
            <v>0.00</v>
          </cell>
          <cell r="N15" t="str">
            <v>0.00</v>
          </cell>
          <cell r="O15">
            <v>20000000</v>
          </cell>
          <cell r="P15">
            <v>-37393790000</v>
          </cell>
          <cell r="Q15">
            <v>-37393790000</v>
          </cell>
          <cell r="R15">
            <v>0</v>
          </cell>
          <cell r="S15">
            <v>-20000000</v>
          </cell>
        </row>
        <row r="16">
          <cell r="D16" t="str">
            <v>Callable Floating Rate MTN</v>
          </cell>
          <cell r="E16">
            <v>0</v>
          </cell>
          <cell r="F16" t="str">
            <v>0.00</v>
          </cell>
          <cell r="G16" t="str">
            <v>0.00</v>
          </cell>
          <cell r="H16" t="str">
            <v>0.00</v>
          </cell>
          <cell r="I16" t="str">
            <v>0.00</v>
          </cell>
          <cell r="J16" t="str">
            <v>0.00</v>
          </cell>
          <cell r="K16" t="str">
            <v>0.00</v>
          </cell>
          <cell r="L16" t="str">
            <v>0.00</v>
          </cell>
          <cell r="M16" t="str">
            <v>0.00</v>
          </cell>
          <cell r="N16" t="str">
            <v>0.00</v>
          </cell>
          <cell r="O16">
            <v>0</v>
          </cell>
          <cell r="P16">
            <v>0</v>
          </cell>
          <cell r="Q16">
            <v>0</v>
          </cell>
          <cell r="R16">
            <v>0</v>
          </cell>
          <cell r="S16">
            <v>0</v>
          </cell>
        </row>
        <row r="17">
          <cell r="D17" t="str">
            <v>LT - CAS</v>
          </cell>
          <cell r="E17">
            <v>-2115677381.76</v>
          </cell>
          <cell r="F17" t="str">
            <v>0.00</v>
          </cell>
          <cell r="G17" t="str">
            <v>0.00</v>
          </cell>
          <cell r="H17" t="str">
            <v>0.00</v>
          </cell>
          <cell r="I17" t="str">
            <v>0.00</v>
          </cell>
          <cell r="J17" t="str">
            <v>0.00</v>
          </cell>
          <cell r="K17">
            <v>83453867.400000006</v>
          </cell>
          <cell r="L17" t="str">
            <v>0.00</v>
          </cell>
          <cell r="M17">
            <v>83453867.400000006</v>
          </cell>
          <cell r="N17" t="str">
            <v>0.00</v>
          </cell>
          <cell r="O17">
            <v>0</v>
          </cell>
          <cell r="P17">
            <v>-2032223514.3599999</v>
          </cell>
          <cell r="Q17">
            <v>-2032223514.3599999</v>
          </cell>
          <cell r="R17">
            <v>0</v>
          </cell>
          <cell r="S17">
            <v>-83453867.399999097</v>
          </cell>
        </row>
        <row r="18">
          <cell r="D18" t="str">
            <v>LT - CAS</v>
          </cell>
          <cell r="E18">
            <v>-11445332026.389999</v>
          </cell>
          <cell r="F18" t="str">
            <v>0.00</v>
          </cell>
          <cell r="G18" t="str">
            <v>0.00</v>
          </cell>
          <cell r="H18" t="str">
            <v>0.00</v>
          </cell>
          <cell r="I18" t="str">
            <v>0.00</v>
          </cell>
          <cell r="J18" t="str">
            <v>0.00</v>
          </cell>
          <cell r="K18">
            <v>2128086220.5999999</v>
          </cell>
          <cell r="L18">
            <v>6534.48</v>
          </cell>
          <cell r="M18">
            <v>2128092755.0799999</v>
          </cell>
          <cell r="N18" t="str">
            <v>0.00</v>
          </cell>
          <cell r="O18">
            <v>0</v>
          </cell>
          <cell r="P18">
            <v>-9317239271.3099995</v>
          </cell>
          <cell r="Q18">
            <v>-9317239271.3099995</v>
          </cell>
          <cell r="R18">
            <v>6.7055225372314506E-8</v>
          </cell>
          <cell r="S18">
            <v>-2128092755.0799999</v>
          </cell>
        </row>
        <row r="19">
          <cell r="D19" t="str">
            <v>LT - FX Debt</v>
          </cell>
          <cell r="E19">
            <v>-339325913.80000001</v>
          </cell>
          <cell r="F19" t="str">
            <v>0.00</v>
          </cell>
          <cell r="G19" t="str">
            <v>0.00</v>
          </cell>
          <cell r="H19" t="str">
            <v>0.00</v>
          </cell>
          <cell r="I19" t="str">
            <v>0.00</v>
          </cell>
          <cell r="J19" t="str">
            <v>0.00</v>
          </cell>
          <cell r="K19" t="str">
            <v>0.00</v>
          </cell>
          <cell r="L19" t="str">
            <v>0.00</v>
          </cell>
          <cell r="M19" t="str">
            <v>0.00</v>
          </cell>
          <cell r="N19">
            <v>9498744.6999999993</v>
          </cell>
          <cell r="O19">
            <v>0</v>
          </cell>
          <cell r="P19">
            <v>-329827169.10000002</v>
          </cell>
          <cell r="Q19">
            <v>-329827169.10000002</v>
          </cell>
          <cell r="R19">
            <v>0</v>
          </cell>
          <cell r="S19">
            <v>-9498744.6999999899</v>
          </cell>
        </row>
        <row r="20">
          <cell r="D20" t="str">
            <v>Non-Callable Fixed Rate MTN</v>
          </cell>
          <cell r="E20">
            <v>-8030177244</v>
          </cell>
          <cell r="F20" t="str">
            <v>0.00</v>
          </cell>
          <cell r="G20" t="str">
            <v>0.00</v>
          </cell>
          <cell r="H20" t="str">
            <v>0.00</v>
          </cell>
          <cell r="I20" t="str">
            <v>0.00</v>
          </cell>
          <cell r="J20" t="str">
            <v>0.00</v>
          </cell>
          <cell r="K20">
            <v>30000000</v>
          </cell>
          <cell r="L20" t="str">
            <v>0.00</v>
          </cell>
          <cell r="M20">
            <v>30000000</v>
          </cell>
          <cell r="N20" t="str">
            <v>0.00</v>
          </cell>
          <cell r="O20">
            <v>-20000000</v>
          </cell>
          <cell r="P20">
            <v>-8020177244</v>
          </cell>
          <cell r="Q20">
            <v>-8020177244</v>
          </cell>
          <cell r="R20">
            <v>0</v>
          </cell>
          <cell r="S20">
            <v>-10000000</v>
          </cell>
        </row>
        <row r="21">
          <cell r="D21" t="str">
            <v>Non-Callable Floating Rate MTN</v>
          </cell>
          <cell r="E21">
            <v>-250000000</v>
          </cell>
          <cell r="F21" t="str">
            <v>0.00</v>
          </cell>
          <cell r="G21" t="str">
            <v>0.00</v>
          </cell>
          <cell r="H21" t="str">
            <v>0.00</v>
          </cell>
          <cell r="I21" t="str">
            <v>0.00</v>
          </cell>
          <cell r="J21" t="str">
            <v>0.00</v>
          </cell>
          <cell r="K21" t="str">
            <v>0.00</v>
          </cell>
          <cell r="L21" t="str">
            <v>0.00</v>
          </cell>
          <cell r="M21" t="str">
            <v>0.00</v>
          </cell>
          <cell r="N21" t="str">
            <v>0.00</v>
          </cell>
          <cell r="O21">
            <v>0</v>
          </cell>
          <cell r="P21">
            <v>-250000000</v>
          </cell>
          <cell r="Q21">
            <v>-250000000</v>
          </cell>
          <cell r="R21">
            <v>0</v>
          </cell>
          <cell r="S21">
            <v>0</v>
          </cell>
        </row>
        <row r="22">
          <cell r="D22" t="str">
            <v>Non-Callable Floating Rate MTN</v>
          </cell>
          <cell r="E22">
            <v>-57174255000</v>
          </cell>
          <cell r="F22" t="str">
            <v>0.00</v>
          </cell>
          <cell r="G22" t="str">
            <v>0.00</v>
          </cell>
          <cell r="H22" t="str">
            <v>0.00</v>
          </cell>
          <cell r="I22" t="str">
            <v>0.00</v>
          </cell>
          <cell r="J22" t="str">
            <v>0.00</v>
          </cell>
          <cell r="K22" t="str">
            <v>0.00</v>
          </cell>
          <cell r="L22" t="str">
            <v>0.00</v>
          </cell>
          <cell r="M22" t="str">
            <v>0.00</v>
          </cell>
          <cell r="N22" t="str">
            <v>0.00</v>
          </cell>
          <cell r="O22">
            <v>0</v>
          </cell>
          <cell r="P22">
            <v>-57174255000</v>
          </cell>
          <cell r="Q22">
            <v>-57174255000</v>
          </cell>
          <cell r="R22">
            <v>0</v>
          </cell>
          <cell r="S22">
            <v>0</v>
          </cell>
        </row>
        <row r="23">
          <cell r="E23">
            <v>-207738545565.95001</v>
          </cell>
          <cell r="F23" t="str">
            <v>0.00</v>
          </cell>
          <cell r="G23" t="str">
            <v>0.00</v>
          </cell>
          <cell r="H23" t="str">
            <v>0.00</v>
          </cell>
          <cell r="I23" t="str">
            <v>0.00</v>
          </cell>
          <cell r="J23" t="str">
            <v>0.00</v>
          </cell>
          <cell r="K23">
            <v>2241540088</v>
          </cell>
          <cell r="L23">
            <v>6534.48</v>
          </cell>
          <cell r="M23">
            <v>2241546622.48</v>
          </cell>
          <cell r="N23">
            <v>9498744.6999999993</v>
          </cell>
          <cell r="O23">
            <v>0</v>
          </cell>
          <cell r="P23">
            <v>-205487500198.76999</v>
          </cell>
          <cell r="Q23">
            <v>-205487500198.76999</v>
          </cell>
          <cell r="R23">
            <v>6.7055225372314506E-8</v>
          </cell>
          <cell r="S23">
            <v>-2251045367.1799898</v>
          </cell>
        </row>
      </sheetData>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GL Balances"/>
      <sheetName val=" Funding Summary"/>
      <sheetName val="Cover Page"/>
      <sheetName val="Summary"/>
      <sheetName val="CUSIP Details"/>
    </sheetNames>
    <sheetDataSet>
      <sheetData sheetId="0"/>
      <sheetData sheetId="1"/>
      <sheetData sheetId="2"/>
      <sheetData sheetId="3">
        <row r="5">
          <cell r="D5" t="str">
            <v>Product
Type</v>
          </cell>
          <cell r="E5" t="str">
            <v>Beginning 
Balance</v>
          </cell>
          <cell r="F5" t="str">
            <v>New Issues
(-)</v>
          </cell>
          <cell r="G5" t="str">
            <v>Re-opens
(-)</v>
          </cell>
          <cell r="H5" t="str">
            <v>Total Issuances
(-)</v>
          </cell>
          <cell r="I5" t="str">
            <v>Repurchases
(+)</v>
          </cell>
          <cell r="J5" t="str">
            <v>Calls/Puts
(+)</v>
          </cell>
          <cell r="K5" t="str">
            <v>Scheduled
Paydown/Maturites
(+)</v>
          </cell>
          <cell r="L5" t="str">
            <v>Non-Cash
Principal
Adjustment</v>
          </cell>
          <cell r="M5" t="str">
            <v>Total Redemptions
(+)</v>
          </cell>
          <cell r="N5" t="str">
            <v>FX Translation
Gain/(Loss)
(+/-)</v>
          </cell>
          <cell r="O5" t="str">
            <v>Re-Classes
(+/-)</v>
          </cell>
          <cell r="P5" t="str">
            <v>Report Calculated
Ending Balance</v>
          </cell>
          <cell r="Q5" t="str">
            <v>EDI
Ending Balance</v>
          </cell>
          <cell r="R5" t="str">
            <v>Difference</v>
          </cell>
          <cell r="S5" t="str">
            <v>MOM Change</v>
          </cell>
        </row>
        <row r="6">
          <cell r="D6" t="str">
            <v>Benchmark Repo</v>
          </cell>
          <cell r="E6">
            <v>0</v>
          </cell>
          <cell r="F6" t="str">
            <v>0.00</v>
          </cell>
          <cell r="G6" t="str">
            <v>0.00</v>
          </cell>
          <cell r="H6" t="str">
            <v>0.00</v>
          </cell>
          <cell r="I6" t="str">
            <v>0.00</v>
          </cell>
          <cell r="J6" t="str">
            <v>0.00</v>
          </cell>
          <cell r="K6" t="str">
            <v>0.00</v>
          </cell>
          <cell r="L6" t="str">
            <v>0.00</v>
          </cell>
          <cell r="M6" t="str">
            <v>0.00</v>
          </cell>
          <cell r="N6" t="str">
            <v>0.00</v>
          </cell>
          <cell r="O6">
            <v>0</v>
          </cell>
          <cell r="P6">
            <v>0</v>
          </cell>
          <cell r="Q6">
            <v>0</v>
          </cell>
          <cell r="R6">
            <v>0</v>
          </cell>
          <cell r="S6">
            <v>0</v>
          </cell>
        </row>
        <row r="7">
          <cell r="D7" t="str">
            <v>Contingency Repo</v>
          </cell>
          <cell r="E7">
            <v>0</v>
          </cell>
          <cell r="F7" t="str">
            <v>0.00</v>
          </cell>
          <cell r="G7" t="str">
            <v>0.00</v>
          </cell>
          <cell r="H7" t="str">
            <v>0.00</v>
          </cell>
          <cell r="I7" t="str">
            <v>0.00</v>
          </cell>
          <cell r="J7" t="str">
            <v>0.00</v>
          </cell>
          <cell r="K7" t="str">
            <v>0.00</v>
          </cell>
          <cell r="L7" t="str">
            <v>0.00</v>
          </cell>
          <cell r="M7" t="str">
            <v>0.00</v>
          </cell>
          <cell r="N7" t="str">
            <v>0.00</v>
          </cell>
          <cell r="O7">
            <v>0</v>
          </cell>
          <cell r="P7">
            <v>0</v>
          </cell>
          <cell r="Q7">
            <v>0</v>
          </cell>
          <cell r="R7">
            <v>0</v>
          </cell>
          <cell r="S7">
            <v>0</v>
          </cell>
        </row>
        <row r="8">
          <cell r="D8" t="str">
            <v>DVP Repo</v>
          </cell>
          <cell r="E8">
            <v>0</v>
          </cell>
          <cell r="F8">
            <v>-4671937500</v>
          </cell>
          <cell r="G8" t="str">
            <v>0.00</v>
          </cell>
          <cell r="H8">
            <v>-4671937500</v>
          </cell>
          <cell r="I8" t="str">
            <v>0.00</v>
          </cell>
          <cell r="J8" t="str">
            <v>0.00</v>
          </cell>
          <cell r="K8">
            <v>4671937500</v>
          </cell>
          <cell r="L8" t="str">
            <v>0.00</v>
          </cell>
          <cell r="M8">
            <v>4671937500</v>
          </cell>
          <cell r="N8" t="str">
            <v>0.00</v>
          </cell>
          <cell r="O8">
            <v>0</v>
          </cell>
          <cell r="P8">
            <v>0</v>
          </cell>
          <cell r="Q8">
            <v>0</v>
          </cell>
          <cell r="R8">
            <v>0</v>
          </cell>
          <cell r="S8">
            <v>0</v>
          </cell>
        </row>
        <row r="9">
          <cell r="D9" t="str">
            <v>Fed Funds Purchased</v>
          </cell>
          <cell r="E9">
            <v>0</v>
          </cell>
          <cell r="F9" t="str">
            <v>0.00</v>
          </cell>
          <cell r="G9" t="str">
            <v>0.00</v>
          </cell>
          <cell r="H9" t="str">
            <v>0.00</v>
          </cell>
          <cell r="I9" t="str">
            <v>0.00</v>
          </cell>
          <cell r="J9" t="str">
            <v>0.00</v>
          </cell>
          <cell r="K9" t="str">
            <v>0.00</v>
          </cell>
          <cell r="L9" t="str">
            <v>0.00</v>
          </cell>
          <cell r="M9" t="str">
            <v>0.00</v>
          </cell>
          <cell r="N9" t="str">
            <v>0.00</v>
          </cell>
          <cell r="O9">
            <v>0</v>
          </cell>
          <cell r="P9">
            <v>0</v>
          </cell>
          <cell r="Q9">
            <v>0</v>
          </cell>
          <cell r="R9">
            <v>0</v>
          </cell>
          <cell r="S9">
            <v>0</v>
          </cell>
        </row>
        <row r="10">
          <cell r="E10">
            <v>0</v>
          </cell>
          <cell r="F10">
            <v>-4671937500</v>
          </cell>
          <cell r="G10" t="str">
            <v>0.00</v>
          </cell>
          <cell r="H10">
            <v>-4671937500</v>
          </cell>
          <cell r="I10" t="str">
            <v>0.00</v>
          </cell>
          <cell r="J10" t="str">
            <v>0.00</v>
          </cell>
          <cell r="K10">
            <v>4671937500</v>
          </cell>
          <cell r="L10" t="str">
            <v>0.00</v>
          </cell>
          <cell r="M10">
            <v>4671937500</v>
          </cell>
          <cell r="N10" t="str">
            <v>0.00</v>
          </cell>
          <cell r="O10">
            <v>0</v>
          </cell>
          <cell r="P10">
            <v>0</v>
          </cell>
          <cell r="Q10">
            <v>0</v>
          </cell>
          <cell r="R10">
            <v>0</v>
          </cell>
          <cell r="S10">
            <v>0</v>
          </cell>
        </row>
        <row r="11">
          <cell r="D11" t="str">
            <v>ST-Debt</v>
          </cell>
          <cell r="E11">
            <v>-3045000000</v>
          </cell>
          <cell r="F11">
            <v>-38750000000</v>
          </cell>
          <cell r="G11" t="str">
            <v>0.00</v>
          </cell>
          <cell r="H11">
            <v>-38750000000</v>
          </cell>
          <cell r="I11" t="str">
            <v>0.00</v>
          </cell>
          <cell r="J11" t="str">
            <v>0.00</v>
          </cell>
          <cell r="K11">
            <v>39000000000</v>
          </cell>
          <cell r="L11" t="str">
            <v>0.00</v>
          </cell>
          <cell r="M11">
            <v>39000000000</v>
          </cell>
          <cell r="N11" t="str">
            <v>0.00</v>
          </cell>
          <cell r="O11">
            <v>0</v>
          </cell>
          <cell r="P11">
            <v>-2795000000</v>
          </cell>
          <cell r="Q11">
            <v>-2795000000</v>
          </cell>
          <cell r="R11">
            <v>0</v>
          </cell>
          <cell r="S11">
            <v>-250000000</v>
          </cell>
        </row>
        <row r="12">
          <cell r="D12" t="str">
            <v>ST - Other - Non-Callable - Floating</v>
          </cell>
          <cell r="E12">
            <v>0</v>
          </cell>
          <cell r="F12" t="str">
            <v>0.00</v>
          </cell>
          <cell r="G12" t="str">
            <v>0.00</v>
          </cell>
          <cell r="H12" t="str">
            <v>0.00</v>
          </cell>
          <cell r="I12" t="str">
            <v>0.00</v>
          </cell>
          <cell r="J12" t="str">
            <v>0.00</v>
          </cell>
          <cell r="K12" t="str">
            <v>0.00</v>
          </cell>
          <cell r="L12" t="str">
            <v>0.00</v>
          </cell>
          <cell r="M12" t="str">
            <v>0.00</v>
          </cell>
          <cell r="N12" t="str">
            <v>0.00</v>
          </cell>
          <cell r="O12">
            <v>0</v>
          </cell>
          <cell r="P12">
            <v>0</v>
          </cell>
          <cell r="Q12">
            <v>0</v>
          </cell>
          <cell r="R12">
            <v>0</v>
          </cell>
          <cell r="S12">
            <v>0</v>
          </cell>
        </row>
        <row r="13">
          <cell r="E13">
            <v>-3045000000</v>
          </cell>
          <cell r="F13">
            <v>-38750000000</v>
          </cell>
          <cell r="G13" t="str">
            <v>0.00</v>
          </cell>
          <cell r="H13">
            <v>-38750000000</v>
          </cell>
          <cell r="I13" t="str">
            <v>0.00</v>
          </cell>
          <cell r="J13" t="str">
            <v>0.00</v>
          </cell>
          <cell r="K13">
            <v>39000000000</v>
          </cell>
          <cell r="L13" t="str">
            <v>0.00</v>
          </cell>
          <cell r="M13">
            <v>39000000000</v>
          </cell>
          <cell r="N13" t="str">
            <v>0.00</v>
          </cell>
          <cell r="O13">
            <v>0</v>
          </cell>
          <cell r="P13">
            <v>-2795000000</v>
          </cell>
          <cell r="Q13">
            <v>-2795000000</v>
          </cell>
          <cell r="R13">
            <v>0</v>
          </cell>
          <cell r="S13">
            <v>-250000000</v>
          </cell>
        </row>
        <row r="14">
          <cell r="D14" t="str">
            <v>Benchmark Notes &amp; Bonds</v>
          </cell>
          <cell r="E14">
            <v>-90969988000</v>
          </cell>
          <cell r="F14" t="str">
            <v>0.00</v>
          </cell>
          <cell r="G14" t="str">
            <v>0.00</v>
          </cell>
          <cell r="H14" t="str">
            <v>0.00</v>
          </cell>
          <cell r="I14" t="str">
            <v>0.00</v>
          </cell>
          <cell r="J14" t="str">
            <v>0.00</v>
          </cell>
          <cell r="K14" t="str">
            <v>0.00</v>
          </cell>
          <cell r="L14" t="str">
            <v>0.00</v>
          </cell>
          <cell r="M14" t="str">
            <v>0.00</v>
          </cell>
          <cell r="N14" t="str">
            <v>0.00</v>
          </cell>
          <cell r="O14">
            <v>0</v>
          </cell>
          <cell r="P14">
            <v>-90969988000</v>
          </cell>
          <cell r="Q14">
            <v>-90969988000</v>
          </cell>
          <cell r="R14">
            <v>0</v>
          </cell>
          <cell r="S14">
            <v>0</v>
          </cell>
        </row>
        <row r="15">
          <cell r="D15" t="str">
            <v>Callable Fixed Rate MTN</v>
          </cell>
          <cell r="E15">
            <v>-37393790000</v>
          </cell>
          <cell r="F15" t="str">
            <v>0.00</v>
          </cell>
          <cell r="G15" t="str">
            <v>0.00</v>
          </cell>
          <cell r="H15" t="str">
            <v>0.00</v>
          </cell>
          <cell r="I15" t="str">
            <v>0.00</v>
          </cell>
          <cell r="J15" t="str">
            <v>0.00</v>
          </cell>
          <cell r="K15" t="str">
            <v>0.00</v>
          </cell>
          <cell r="L15" t="str">
            <v>0.00</v>
          </cell>
          <cell r="M15" t="str">
            <v>0.00</v>
          </cell>
          <cell r="N15" t="str">
            <v>0.00</v>
          </cell>
          <cell r="O15">
            <v>0</v>
          </cell>
          <cell r="P15">
            <v>-37393790000</v>
          </cell>
          <cell r="Q15">
            <v>-37393790000</v>
          </cell>
          <cell r="R15">
            <v>0</v>
          </cell>
          <cell r="S15">
            <v>0</v>
          </cell>
        </row>
        <row r="16">
          <cell r="D16" t="str">
            <v>Callable Floating Rate MTN</v>
          </cell>
          <cell r="E16">
            <v>0</v>
          </cell>
          <cell r="F16" t="str">
            <v>0.00</v>
          </cell>
          <cell r="G16" t="str">
            <v>0.00</v>
          </cell>
          <cell r="H16" t="str">
            <v>0.00</v>
          </cell>
          <cell r="I16" t="str">
            <v>0.00</v>
          </cell>
          <cell r="J16" t="str">
            <v>0.00</v>
          </cell>
          <cell r="K16" t="str">
            <v>0.00</v>
          </cell>
          <cell r="L16" t="str">
            <v>0.00</v>
          </cell>
          <cell r="M16" t="str">
            <v>0.00</v>
          </cell>
          <cell r="N16" t="str">
            <v>0.00</v>
          </cell>
          <cell r="O16">
            <v>0</v>
          </cell>
          <cell r="P16">
            <v>0</v>
          </cell>
          <cell r="Q16">
            <v>0</v>
          </cell>
          <cell r="R16">
            <v>0</v>
          </cell>
          <cell r="S16">
            <v>0</v>
          </cell>
        </row>
        <row r="17">
          <cell r="D17" t="str">
            <v>LT - CAS</v>
          </cell>
          <cell r="E17">
            <v>-2032223514.3599999</v>
          </cell>
          <cell r="F17" t="str">
            <v>0.00</v>
          </cell>
          <cell r="G17" t="str">
            <v>0.00</v>
          </cell>
          <cell r="H17" t="str">
            <v>0.00</v>
          </cell>
          <cell r="I17" t="str">
            <v>0.00</v>
          </cell>
          <cell r="J17" t="str">
            <v>0.00</v>
          </cell>
          <cell r="K17">
            <v>64911179.380000003</v>
          </cell>
          <cell r="L17" t="str">
            <v>0.00</v>
          </cell>
          <cell r="M17">
            <v>64911179.380000003</v>
          </cell>
          <cell r="N17" t="str">
            <v>0.00</v>
          </cell>
          <cell r="O17">
            <v>0</v>
          </cell>
          <cell r="P17">
            <v>-1967312334.98</v>
          </cell>
          <cell r="Q17">
            <v>-1967312334.98</v>
          </cell>
          <cell r="R17">
            <v>0</v>
          </cell>
          <cell r="S17">
            <v>-64911179.3800001</v>
          </cell>
        </row>
        <row r="18">
          <cell r="D18" t="str">
            <v>LT - CAS</v>
          </cell>
          <cell r="E18">
            <v>-9317239271.3099995</v>
          </cell>
          <cell r="F18" t="str">
            <v>0.00</v>
          </cell>
          <cell r="G18" t="str">
            <v>0.00</v>
          </cell>
          <cell r="H18" t="str">
            <v>0.00</v>
          </cell>
          <cell r="I18" t="str">
            <v>0.00</v>
          </cell>
          <cell r="J18" t="str">
            <v>0.00</v>
          </cell>
          <cell r="K18">
            <v>117861457.5</v>
          </cell>
          <cell r="L18">
            <v>116822.76</v>
          </cell>
          <cell r="M18">
            <v>117978280.26000001</v>
          </cell>
          <cell r="N18" t="str">
            <v>0.00</v>
          </cell>
          <cell r="O18">
            <v>0</v>
          </cell>
          <cell r="P18">
            <v>-9199260991.0499992</v>
          </cell>
          <cell r="Q18">
            <v>-9199260991.0499992</v>
          </cell>
          <cell r="R18">
            <v>0</v>
          </cell>
          <cell r="S18">
            <v>-117978280.25999799</v>
          </cell>
        </row>
        <row r="19">
          <cell r="D19" t="str">
            <v>LT - FX Debt</v>
          </cell>
          <cell r="E19">
            <v>-329827169.10000002</v>
          </cell>
          <cell r="F19" t="str">
            <v>0.00</v>
          </cell>
          <cell r="G19" t="str">
            <v>0.00</v>
          </cell>
          <cell r="H19" t="str">
            <v>0.00</v>
          </cell>
          <cell r="I19" t="str">
            <v>0.00</v>
          </cell>
          <cell r="J19" t="str">
            <v>0.00</v>
          </cell>
          <cell r="K19" t="str">
            <v>0.00</v>
          </cell>
          <cell r="L19" t="str">
            <v>0.00</v>
          </cell>
          <cell r="M19" t="str">
            <v>0.00</v>
          </cell>
          <cell r="N19">
            <v>-5778609.7000000002</v>
          </cell>
          <cell r="O19">
            <v>0</v>
          </cell>
          <cell r="P19">
            <v>-335605778.80000001</v>
          </cell>
          <cell r="Q19">
            <v>-335605778.80000001</v>
          </cell>
          <cell r="R19">
            <v>0</v>
          </cell>
          <cell r="S19">
            <v>5778609.6999999899</v>
          </cell>
        </row>
        <row r="20">
          <cell r="D20" t="str">
            <v>Non-Callable Fixed Rate MTN</v>
          </cell>
          <cell r="E20">
            <v>-8020177244</v>
          </cell>
          <cell r="F20" t="str">
            <v>0.00</v>
          </cell>
          <cell r="G20" t="str">
            <v>0.00</v>
          </cell>
          <cell r="H20" t="str">
            <v>0.00</v>
          </cell>
          <cell r="I20" t="str">
            <v>0.00</v>
          </cell>
          <cell r="J20" t="str">
            <v>0.00</v>
          </cell>
          <cell r="K20">
            <v>30000000</v>
          </cell>
          <cell r="L20" t="str">
            <v>0.00</v>
          </cell>
          <cell r="M20">
            <v>30000000</v>
          </cell>
          <cell r="N20" t="str">
            <v>0.00</v>
          </cell>
          <cell r="O20">
            <v>0</v>
          </cell>
          <cell r="P20">
            <v>-7990177244</v>
          </cell>
          <cell r="Q20">
            <v>-7990177244</v>
          </cell>
          <cell r="R20">
            <v>0</v>
          </cell>
          <cell r="S20">
            <v>-30000000</v>
          </cell>
        </row>
        <row r="21">
          <cell r="D21" t="str">
            <v>Non-Callable Floating Rate MTN</v>
          </cell>
          <cell r="E21">
            <v>-250000000</v>
          </cell>
          <cell r="F21" t="str">
            <v>0.00</v>
          </cell>
          <cell r="G21" t="str">
            <v>0.00</v>
          </cell>
          <cell r="H21" t="str">
            <v>0.00</v>
          </cell>
          <cell r="I21" t="str">
            <v>0.00</v>
          </cell>
          <cell r="J21" t="str">
            <v>0.00</v>
          </cell>
          <cell r="K21" t="str">
            <v>0.00</v>
          </cell>
          <cell r="L21" t="str">
            <v>0.00</v>
          </cell>
          <cell r="M21" t="str">
            <v>0.00</v>
          </cell>
          <cell r="N21" t="str">
            <v>0.00</v>
          </cell>
          <cell r="O21">
            <v>0</v>
          </cell>
          <cell r="P21">
            <v>-250000000</v>
          </cell>
          <cell r="Q21">
            <v>-250000000</v>
          </cell>
          <cell r="R21">
            <v>0</v>
          </cell>
          <cell r="S21">
            <v>0</v>
          </cell>
        </row>
        <row r="22">
          <cell r="D22" t="str">
            <v>Non-Callable Floating Rate MTN</v>
          </cell>
          <cell r="E22">
            <v>-57174255000</v>
          </cell>
          <cell r="F22" t="str">
            <v>0.00</v>
          </cell>
          <cell r="G22" t="str">
            <v>0.00</v>
          </cell>
          <cell r="H22" t="str">
            <v>0.00</v>
          </cell>
          <cell r="I22" t="str">
            <v>0.00</v>
          </cell>
          <cell r="J22" t="str">
            <v>0.00</v>
          </cell>
          <cell r="K22">
            <v>5588255000</v>
          </cell>
          <cell r="L22" t="str">
            <v>0.00</v>
          </cell>
          <cell r="M22">
            <v>5588255000</v>
          </cell>
          <cell r="N22" t="str">
            <v>0.00</v>
          </cell>
          <cell r="O22">
            <v>0</v>
          </cell>
          <cell r="P22">
            <v>-51586000000</v>
          </cell>
          <cell r="Q22">
            <v>-51586000000</v>
          </cell>
          <cell r="R22">
            <v>0</v>
          </cell>
          <cell r="S22">
            <v>-5588255000</v>
          </cell>
        </row>
        <row r="23">
          <cell r="E23">
            <v>-205487500198.76999</v>
          </cell>
          <cell r="F23" t="str">
            <v>0.00</v>
          </cell>
          <cell r="G23" t="str">
            <v>0.00</v>
          </cell>
          <cell r="H23" t="str">
            <v>0.00</v>
          </cell>
          <cell r="I23" t="str">
            <v>0.00</v>
          </cell>
          <cell r="J23" t="str">
            <v>0.00</v>
          </cell>
          <cell r="K23">
            <v>5801027636.8800001</v>
          </cell>
          <cell r="L23">
            <v>116822.76</v>
          </cell>
          <cell r="M23">
            <v>5801144459.6400003</v>
          </cell>
          <cell r="N23">
            <v>-5778609.7000000002</v>
          </cell>
          <cell r="O23">
            <v>0</v>
          </cell>
          <cell r="P23">
            <v>-199692134348.82999</v>
          </cell>
          <cell r="Q23">
            <v>-199692134348.82999</v>
          </cell>
          <cell r="R23">
            <v>0</v>
          </cell>
          <cell r="S23">
            <v>-5795365849.9400301</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470A5-790D-4F31-9567-CD2218C26D04}">
  <dimension ref="A1:J27"/>
  <sheetViews>
    <sheetView zoomScale="99" zoomScaleNormal="99" workbookViewId="0">
      <selection activeCell="B4" sqref="B4:H4"/>
    </sheetView>
  </sheetViews>
  <sheetFormatPr defaultRowHeight="13.5" x14ac:dyDescent="0.25"/>
  <cols>
    <col min="1" max="1" width="2" style="31" customWidth="1"/>
    <col min="2" max="2" width="25.7109375" style="54" customWidth="1"/>
    <col min="3" max="3" width="25.7109375" style="48" customWidth="1"/>
    <col min="4" max="8" width="25.7109375" style="49" customWidth="1"/>
    <col min="9" max="9" width="9.140625" style="50"/>
    <col min="10" max="10" width="17.28515625" style="50" bestFit="1" customWidth="1"/>
    <col min="11" max="16384" width="9.140625" style="50"/>
  </cols>
  <sheetData>
    <row r="1" spans="1:10" s="30" customFormat="1" ht="6.95" customHeight="1" x14ac:dyDescent="0.25">
      <c r="A1" s="26"/>
      <c r="B1" s="27"/>
      <c r="C1" s="28"/>
      <c r="D1" s="29"/>
      <c r="E1" s="29"/>
      <c r="F1" s="29"/>
      <c r="G1" s="29"/>
      <c r="H1" s="29"/>
    </row>
    <row r="2" spans="1:10" s="30" customFormat="1" ht="21.4" customHeight="1" x14ac:dyDescent="0.25">
      <c r="A2" s="26"/>
      <c r="B2" s="31"/>
      <c r="C2" s="28"/>
      <c r="D2" s="29"/>
      <c r="E2" s="29"/>
      <c r="F2" s="29"/>
      <c r="G2" s="29"/>
      <c r="H2" s="29"/>
    </row>
    <row r="3" spans="1:10" s="30" customFormat="1" ht="18.2" customHeight="1" x14ac:dyDescent="0.25">
      <c r="A3" s="26"/>
      <c r="B3" s="32"/>
      <c r="C3" s="28"/>
      <c r="D3" s="29"/>
      <c r="E3" s="29"/>
      <c r="F3" s="29"/>
      <c r="G3" s="29"/>
      <c r="H3" s="29"/>
    </row>
    <row r="4" spans="1:10" s="30" customFormat="1" ht="20.85" customHeight="1" thickBot="1" x14ac:dyDescent="0.45">
      <c r="A4" s="26"/>
      <c r="B4" s="78" t="s">
        <v>29</v>
      </c>
      <c r="C4" s="78"/>
      <c r="D4" s="78"/>
      <c r="E4" s="78"/>
      <c r="F4" s="78"/>
      <c r="G4" s="78"/>
      <c r="H4" s="78"/>
    </row>
    <row r="5" spans="1:10" s="30" customFormat="1" ht="39.950000000000003" customHeight="1" x14ac:dyDescent="0.25">
      <c r="A5" s="26"/>
      <c r="B5" s="33" t="s">
        <v>0</v>
      </c>
      <c r="C5" s="34" t="s">
        <v>1</v>
      </c>
      <c r="D5" s="35" t="s">
        <v>14</v>
      </c>
      <c r="E5" s="35" t="s">
        <v>15</v>
      </c>
      <c r="F5" s="35" t="s">
        <v>16</v>
      </c>
      <c r="G5" s="35" t="s">
        <v>17</v>
      </c>
      <c r="H5" s="36" t="s">
        <v>18</v>
      </c>
    </row>
    <row r="6" spans="1:10" s="30" customFormat="1" ht="39.950000000000003" customHeight="1" x14ac:dyDescent="0.25">
      <c r="A6" s="26"/>
      <c r="B6" s="79" t="s">
        <v>19</v>
      </c>
      <c r="C6" s="37" t="s">
        <v>2</v>
      </c>
      <c r="D6" s="38">
        <v>4729697000</v>
      </c>
      <c r="E6" s="38">
        <v>217340000</v>
      </c>
      <c r="F6" s="38">
        <v>-1153170000</v>
      </c>
      <c r="G6" s="38" t="s">
        <v>30</v>
      </c>
      <c r="H6" s="39">
        <v>3793867000</v>
      </c>
    </row>
    <row r="7" spans="1:10" s="30" customFormat="1" ht="39.950000000000003" customHeight="1" x14ac:dyDescent="0.25">
      <c r="A7" s="26"/>
      <c r="B7" s="80"/>
      <c r="C7" s="37" t="s">
        <v>3</v>
      </c>
      <c r="D7" s="38">
        <v>7445000000</v>
      </c>
      <c r="E7" s="38">
        <v>0</v>
      </c>
      <c r="F7" s="38">
        <v>0</v>
      </c>
      <c r="G7" s="38" t="s">
        <v>30</v>
      </c>
      <c r="H7" s="39">
        <v>7445000000</v>
      </c>
    </row>
    <row r="8" spans="1:10" s="30" customFormat="1" ht="39.950000000000003" customHeight="1" x14ac:dyDescent="0.25">
      <c r="A8" s="26"/>
      <c r="B8" s="81" t="s">
        <v>4</v>
      </c>
      <c r="C8" s="82"/>
      <c r="D8" s="40">
        <v>12174697000</v>
      </c>
      <c r="E8" s="40">
        <v>217340000</v>
      </c>
      <c r="F8" s="40">
        <v>-1153170000</v>
      </c>
      <c r="G8" s="40">
        <v>0</v>
      </c>
      <c r="H8" s="41">
        <v>11238867000</v>
      </c>
    </row>
    <row r="9" spans="1:10" s="30" customFormat="1" ht="39.950000000000003" customHeight="1" x14ac:dyDescent="0.25">
      <c r="A9" s="26"/>
      <c r="B9" s="79" t="s">
        <v>20</v>
      </c>
      <c r="C9" s="37" t="s">
        <v>5</v>
      </c>
      <c r="D9" s="38">
        <v>106929149000</v>
      </c>
      <c r="E9" s="38">
        <v>0</v>
      </c>
      <c r="F9" s="38">
        <v>0</v>
      </c>
      <c r="G9" s="38" t="s">
        <v>30</v>
      </c>
      <c r="H9" s="39">
        <v>106929149000</v>
      </c>
    </row>
    <row r="10" spans="1:10" s="30" customFormat="1" ht="39.950000000000003" customHeight="1" x14ac:dyDescent="0.25">
      <c r="A10" s="26"/>
      <c r="B10" s="83"/>
      <c r="C10" s="37" t="s">
        <v>6</v>
      </c>
      <c r="D10" s="38">
        <v>45323540000</v>
      </c>
      <c r="E10" s="38">
        <v>2815000000</v>
      </c>
      <c r="F10" s="38">
        <v>-1733750000</v>
      </c>
      <c r="G10" s="38" t="s">
        <v>30</v>
      </c>
      <c r="H10" s="39">
        <v>46404790000</v>
      </c>
    </row>
    <row r="11" spans="1:10" s="30" customFormat="1" ht="39.950000000000003" customHeight="1" x14ac:dyDescent="0.25">
      <c r="A11" s="26"/>
      <c r="B11" s="83"/>
      <c r="C11" s="37" t="s">
        <v>7</v>
      </c>
      <c r="D11" s="38">
        <v>0</v>
      </c>
      <c r="E11" s="38">
        <v>0</v>
      </c>
      <c r="F11" s="38">
        <v>0</v>
      </c>
      <c r="G11" s="38" t="s">
        <v>30</v>
      </c>
      <c r="H11" s="39">
        <v>0</v>
      </c>
    </row>
    <row r="12" spans="1:10" s="30" customFormat="1" ht="39.950000000000003" customHeight="1" x14ac:dyDescent="0.25">
      <c r="A12" s="26"/>
      <c r="B12" s="83"/>
      <c r="C12" s="37" t="s">
        <v>8</v>
      </c>
      <c r="D12" s="38">
        <v>26505.85</v>
      </c>
      <c r="E12" s="38">
        <v>0</v>
      </c>
      <c r="F12" s="38">
        <v>0</v>
      </c>
      <c r="G12" s="38" t="s">
        <v>30</v>
      </c>
      <c r="H12" s="39">
        <v>26505.85</v>
      </c>
    </row>
    <row r="13" spans="1:10" s="30" customFormat="1" ht="39.950000000000003" customHeight="1" x14ac:dyDescent="0.25">
      <c r="A13" s="26"/>
      <c r="B13" s="83"/>
      <c r="C13" s="37" t="s">
        <v>9</v>
      </c>
      <c r="D13" s="38">
        <v>15032067423.74</v>
      </c>
      <c r="E13" s="38">
        <v>0</v>
      </c>
      <c r="F13" s="38">
        <v>-153452521.16</v>
      </c>
      <c r="G13" s="38" t="s">
        <v>30</v>
      </c>
      <c r="H13" s="39">
        <v>14878614902.58</v>
      </c>
    </row>
    <row r="14" spans="1:10" s="30" customFormat="1" ht="39.950000000000003" customHeight="1" x14ac:dyDescent="0.25">
      <c r="A14" s="26"/>
      <c r="B14" s="83"/>
      <c r="C14" s="37" t="s">
        <v>10</v>
      </c>
      <c r="D14" s="38">
        <v>475728303.35000002</v>
      </c>
      <c r="E14" s="38">
        <v>0</v>
      </c>
      <c r="F14" s="38">
        <v>0</v>
      </c>
      <c r="G14" s="38">
        <v>1322434.2</v>
      </c>
      <c r="H14" s="39">
        <v>477050737.55000001</v>
      </c>
    </row>
    <row r="15" spans="1:10" s="30" customFormat="1" ht="39.950000000000003" customHeight="1" x14ac:dyDescent="0.25">
      <c r="A15" s="26"/>
      <c r="B15" s="83"/>
      <c r="C15" s="37" t="s">
        <v>11</v>
      </c>
      <c r="D15" s="38">
        <v>9716000192.75</v>
      </c>
      <c r="E15" s="38">
        <v>0</v>
      </c>
      <c r="F15" s="38">
        <v>-84560000</v>
      </c>
      <c r="G15" s="38" t="s">
        <v>30</v>
      </c>
      <c r="H15" s="39">
        <v>9631440192.75</v>
      </c>
    </row>
    <row r="16" spans="1:10" s="30" customFormat="1" ht="39.950000000000003" customHeight="1" x14ac:dyDescent="0.25">
      <c r="A16" s="26"/>
      <c r="B16" s="83"/>
      <c r="C16" s="37" t="s">
        <v>12</v>
      </c>
      <c r="D16" s="38">
        <v>100359255000</v>
      </c>
      <c r="E16" s="38">
        <v>0</v>
      </c>
      <c r="F16" s="38">
        <v>-2000000000</v>
      </c>
      <c r="G16" s="38" t="s">
        <v>30</v>
      </c>
      <c r="H16" s="39">
        <v>98359255000</v>
      </c>
      <c r="J16" s="42"/>
    </row>
    <row r="17" spans="1:8" s="30" customFormat="1" ht="45" customHeight="1" x14ac:dyDescent="0.25">
      <c r="A17" s="26"/>
      <c r="B17" s="84" t="s">
        <v>13</v>
      </c>
      <c r="C17" s="85"/>
      <c r="D17" s="43">
        <v>277835766425.69</v>
      </c>
      <c r="E17" s="43">
        <v>2815000000</v>
      </c>
      <c r="F17" s="43">
        <v>-3971762521.1599998</v>
      </c>
      <c r="G17" s="43">
        <v>1322434.2</v>
      </c>
      <c r="H17" s="44">
        <v>276680326338.72998</v>
      </c>
    </row>
    <row r="18" spans="1:8" s="30" customFormat="1" ht="45" customHeight="1" thickBot="1" x14ac:dyDescent="0.3">
      <c r="A18" s="26"/>
      <c r="B18" s="86" t="s">
        <v>21</v>
      </c>
      <c r="C18" s="87"/>
      <c r="D18" s="45">
        <v>290010463425.69</v>
      </c>
      <c r="E18" s="45">
        <v>3032340000</v>
      </c>
      <c r="F18" s="45">
        <v>-5124932521.1599998</v>
      </c>
      <c r="G18" s="45">
        <v>1322434.2</v>
      </c>
      <c r="H18" s="46">
        <v>287919193338.72998</v>
      </c>
    </row>
    <row r="20" spans="1:8" ht="15.75" x14ac:dyDescent="0.25">
      <c r="B20" s="47" t="s">
        <v>22</v>
      </c>
    </row>
    <row r="21" spans="1:8" x14ac:dyDescent="0.25">
      <c r="B21" s="51" t="s">
        <v>23</v>
      </c>
      <c r="D21" s="52"/>
      <c r="E21" s="52"/>
      <c r="F21" s="52"/>
      <c r="G21" s="52"/>
      <c r="H21" s="52"/>
    </row>
    <row r="22" spans="1:8" x14ac:dyDescent="0.25">
      <c r="B22" s="53" t="s">
        <v>24</v>
      </c>
      <c r="D22" s="52"/>
      <c r="E22" s="52"/>
      <c r="F22" s="52"/>
      <c r="G22" s="52"/>
      <c r="H22" s="52"/>
    </row>
    <row r="23" spans="1:8" ht="28.5" customHeight="1" x14ac:dyDescent="0.25">
      <c r="B23" s="76" t="s">
        <v>31</v>
      </c>
      <c r="C23" s="76"/>
      <c r="D23" s="76"/>
      <c r="E23" s="76"/>
      <c r="F23" s="76"/>
      <c r="G23" s="76"/>
      <c r="H23" s="76"/>
    </row>
    <row r="24" spans="1:8" x14ac:dyDescent="0.25">
      <c r="B24" s="51" t="s">
        <v>32</v>
      </c>
      <c r="D24" s="52"/>
      <c r="E24" s="52"/>
      <c r="F24" s="52"/>
      <c r="G24" s="52"/>
      <c r="H24" s="52"/>
    </row>
    <row r="26" spans="1:8" x14ac:dyDescent="0.25">
      <c r="B26" s="54" t="s">
        <v>33</v>
      </c>
    </row>
    <row r="27" spans="1:8" ht="87" customHeight="1" x14ac:dyDescent="0.25">
      <c r="B27" s="77" t="s">
        <v>28</v>
      </c>
      <c r="C27" s="77"/>
      <c r="D27" s="77"/>
      <c r="E27" s="77"/>
      <c r="F27" s="77"/>
      <c r="G27" s="77"/>
      <c r="H27" s="77"/>
    </row>
  </sheetData>
  <mergeCells count="8">
    <mergeCell ref="B23:H23"/>
    <mergeCell ref="B27:H27"/>
    <mergeCell ref="B4:H4"/>
    <mergeCell ref="B6:B7"/>
    <mergeCell ref="B8:C8"/>
    <mergeCell ref="B9:B16"/>
    <mergeCell ref="B17:C17"/>
    <mergeCell ref="B18:C18"/>
  </mergeCells>
  <pageMargins left="0.7" right="0.7" top="0.75" bottom="0.75" header="0.3" footer="0.3"/>
  <pageSetup paperSize="4" scale="60" orientation="landscape" r:id="rId1"/>
  <headerFooter alignWithMargins="0"/>
  <ignoredErrors>
    <ignoredError sqref="G15:G16 G6:G7 G9:G13"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4017B-CE13-458C-AABE-08FCB66D2318}">
  <dimension ref="A1:J33"/>
  <sheetViews>
    <sheetView zoomScaleNormal="100" workbookViewId="0">
      <selection activeCell="B4" sqref="B4:H4"/>
    </sheetView>
  </sheetViews>
  <sheetFormatPr defaultRowHeight="13.5" x14ac:dyDescent="0.25"/>
  <cols>
    <col min="1" max="1" width="2" style="6" customWidth="1"/>
    <col min="2" max="2" width="25.7109375" style="23" customWidth="1"/>
    <col min="3" max="3" width="25.7109375" style="20" customWidth="1"/>
    <col min="4" max="8" width="25.7109375" style="21" customWidth="1"/>
    <col min="10" max="10" width="17.28515625" bestFit="1" customWidth="1"/>
  </cols>
  <sheetData>
    <row r="1" spans="1:10" s="5" customFormat="1" ht="6.95" customHeight="1" x14ac:dyDescent="0.25">
      <c r="A1" s="1"/>
      <c r="B1" s="2"/>
      <c r="C1" s="3"/>
      <c r="D1" s="4"/>
      <c r="E1" s="4"/>
      <c r="F1" s="4"/>
      <c r="G1" s="4"/>
      <c r="H1" s="4"/>
    </row>
    <row r="2" spans="1:10" s="5" customFormat="1" ht="21.4" customHeight="1" x14ac:dyDescent="0.25">
      <c r="A2" s="1"/>
      <c r="B2" s="6"/>
      <c r="C2" s="3"/>
      <c r="D2" s="4"/>
      <c r="E2" s="4"/>
      <c r="F2" s="4"/>
      <c r="G2" s="4"/>
      <c r="H2" s="4"/>
    </row>
    <row r="3" spans="1:10" s="5" customFormat="1" ht="18.2" customHeight="1" x14ac:dyDescent="0.25">
      <c r="A3" s="1"/>
      <c r="B3" s="7"/>
      <c r="C3" s="3"/>
      <c r="D3" s="4"/>
      <c r="E3" s="4"/>
      <c r="F3" s="4"/>
      <c r="G3" s="4"/>
      <c r="H3" s="4"/>
    </row>
    <row r="4" spans="1:10" s="5" customFormat="1" ht="20.85" customHeight="1" thickBot="1" x14ac:dyDescent="0.45">
      <c r="A4" s="1"/>
      <c r="B4" s="103" t="s">
        <v>47</v>
      </c>
      <c r="C4" s="103"/>
      <c r="D4" s="103"/>
      <c r="E4" s="103"/>
      <c r="F4" s="103"/>
      <c r="G4" s="103"/>
      <c r="H4" s="103"/>
    </row>
    <row r="5" spans="1:10" s="5" customFormat="1" ht="57.75" customHeight="1" x14ac:dyDescent="0.25">
      <c r="A5" s="1"/>
      <c r="B5" s="8" t="s">
        <v>0</v>
      </c>
      <c r="C5" s="9" t="s">
        <v>1</v>
      </c>
      <c r="D5" s="10" t="s">
        <v>14</v>
      </c>
      <c r="E5" s="10" t="s">
        <v>15</v>
      </c>
      <c r="F5" s="10" t="s">
        <v>16</v>
      </c>
      <c r="G5" s="10" t="s">
        <v>17</v>
      </c>
      <c r="H5" s="11" t="s">
        <v>18</v>
      </c>
    </row>
    <row r="6" spans="1:10" s="5" customFormat="1" ht="39.950000000000003" customHeight="1" x14ac:dyDescent="0.25">
      <c r="A6" s="1"/>
      <c r="B6" s="104" t="s">
        <v>19</v>
      </c>
      <c r="C6" s="12" t="s">
        <v>2</v>
      </c>
      <c r="D6" s="13">
        <f>-VLOOKUP(C6,[7]Summary!$D$5:$S$23,2,0)</f>
        <v>8045000000</v>
      </c>
      <c r="E6" s="13">
        <f>-VLOOKUP(C6,[7]Summary!$D$5:$S$23,5,0)</f>
        <v>19020000000</v>
      </c>
      <c r="F6" s="13">
        <f>-VLOOKUP(C6,[7]Summary!$D$5:$S$23,10,0)</f>
        <v>-24020000000</v>
      </c>
      <c r="G6" s="13">
        <v>0</v>
      </c>
      <c r="H6" s="14">
        <f>-VLOOKUP(C6,[7]Summary!$D$5:$S$23,14,0)</f>
        <v>3045000000</v>
      </c>
    </row>
    <row r="7" spans="1:10" s="5" customFormat="1" ht="39.950000000000003" customHeight="1" x14ac:dyDescent="0.25">
      <c r="A7" s="1"/>
      <c r="B7" s="105"/>
      <c r="C7" s="12" t="s">
        <v>3</v>
      </c>
      <c r="D7" s="13">
        <f>-VLOOKUP(C7,[7]Summary!$D$5:$S$23,2,0)</f>
        <v>0</v>
      </c>
      <c r="E7" s="13">
        <f>-VLOOKUP(C7,[7]Summary!$D$5:$S$23,5,0)</f>
        <v>0</v>
      </c>
      <c r="F7" s="13">
        <f>-VLOOKUP(C7,[7]Summary!$D$5:$S$23,10,0)</f>
        <v>0</v>
      </c>
      <c r="G7" s="13">
        <v>0</v>
      </c>
      <c r="H7" s="14">
        <f>-VLOOKUP(C7,[7]Summary!$D$5:$S$23,14,0)</f>
        <v>0</v>
      </c>
    </row>
    <row r="8" spans="1:10" s="5" customFormat="1" ht="39.950000000000003" customHeight="1" x14ac:dyDescent="0.25">
      <c r="A8" s="1"/>
      <c r="B8" s="106" t="s">
        <v>4</v>
      </c>
      <c r="C8" s="107"/>
      <c r="D8" s="15">
        <f>SUM(D6:D7)</f>
        <v>8045000000</v>
      </c>
      <c r="E8" s="15">
        <f t="shared" ref="E8:H8" si="0">SUM(E6:E7)</f>
        <v>19020000000</v>
      </c>
      <c r="F8" s="15">
        <f t="shared" si="0"/>
        <v>-24020000000</v>
      </c>
      <c r="G8" s="15">
        <f t="shared" si="0"/>
        <v>0</v>
      </c>
      <c r="H8" s="15">
        <f t="shared" si="0"/>
        <v>3045000000</v>
      </c>
    </row>
    <row r="9" spans="1:10" s="5" customFormat="1" ht="39.950000000000003" customHeight="1" x14ac:dyDescent="0.25">
      <c r="A9" s="1"/>
      <c r="B9" s="104" t="s">
        <v>20</v>
      </c>
      <c r="C9" s="12" t="s">
        <v>5</v>
      </c>
      <c r="D9" s="13">
        <f>-VLOOKUP(C9,[7]Summary!$D$5:$S$23,2,0)</f>
        <v>94269671000</v>
      </c>
      <c r="E9" s="13">
        <f>-VLOOKUP(C9,[7]Summary!$D$5:$S$23,5,0)</f>
        <v>0</v>
      </c>
      <c r="F9" s="13">
        <f>-VLOOKUP(C9,[7]Summary!$D$5:$S$23,10,0)</f>
        <v>-3299683000</v>
      </c>
      <c r="G9" s="13">
        <v>0</v>
      </c>
      <c r="H9" s="14">
        <f>-VLOOKUP(C9,[7]Summary!$D$5:$S$23,14,0)</f>
        <v>90969988000</v>
      </c>
    </row>
    <row r="10" spans="1:10" s="72" customFormat="1" ht="39.950000000000003" customHeight="1" x14ac:dyDescent="0.25">
      <c r="A10" s="71"/>
      <c r="B10" s="108"/>
      <c r="C10" s="12" t="s">
        <v>6</v>
      </c>
      <c r="D10" s="13">
        <f>-VLOOKUP(C10,[7]Summary!$D$5:$S$23,2,0)</f>
        <v>37513790000</v>
      </c>
      <c r="E10" s="13">
        <f>-VLOOKUP(C10,[7]Summary!$D$5:$S$23,5,0)</f>
        <v>0</v>
      </c>
      <c r="F10" s="13">
        <f>-VLOOKUP(C10,[7]Summary!$D$5:$S$23,10,0)</f>
        <v>0</v>
      </c>
      <c r="G10" s="13">
        <f>-[7]Summary!O15</f>
        <v>-100000000</v>
      </c>
      <c r="H10" s="14">
        <f>-VLOOKUP(C10,[7]Summary!$D$5:$S$23,14,0)</f>
        <v>37413790000</v>
      </c>
    </row>
    <row r="11" spans="1:10" s="5" customFormat="1" ht="39.950000000000003" customHeight="1" x14ac:dyDescent="0.25">
      <c r="A11" s="1"/>
      <c r="B11" s="108"/>
      <c r="C11" s="12" t="s">
        <v>7</v>
      </c>
      <c r="D11" s="13">
        <f>-VLOOKUP(C11,[7]Summary!$D$5:$S$23,2,0)</f>
        <v>0</v>
      </c>
      <c r="E11" s="13">
        <f>-VLOOKUP(C11,[7]Summary!$D$5:$S$23,5,0)</f>
        <v>0</v>
      </c>
      <c r="F11" s="13">
        <f>-VLOOKUP(C11,[7]Summary!$D$5:$S$23,10,0)</f>
        <v>0</v>
      </c>
      <c r="G11" s="13">
        <v>0</v>
      </c>
      <c r="H11" s="14">
        <f>-VLOOKUP(C11,[7]Summary!$D$5:$S$23,14,0)</f>
        <v>0</v>
      </c>
    </row>
    <row r="12" spans="1:10" s="5" customFormat="1" ht="39.950000000000003" customHeight="1" x14ac:dyDescent="0.25">
      <c r="A12" s="1"/>
      <c r="B12" s="108"/>
      <c r="C12" s="12" t="s">
        <v>8</v>
      </c>
      <c r="D12" s="13">
        <v>0</v>
      </c>
      <c r="E12" s="13">
        <v>0</v>
      </c>
      <c r="F12" s="13">
        <v>0</v>
      </c>
      <c r="G12" s="13">
        <v>0</v>
      </c>
      <c r="H12" s="14">
        <v>0</v>
      </c>
    </row>
    <row r="13" spans="1:10" s="5" customFormat="1" ht="39.950000000000003" customHeight="1" x14ac:dyDescent="0.25">
      <c r="A13" s="1"/>
      <c r="B13" s="108"/>
      <c r="C13" s="12" t="s">
        <v>9</v>
      </c>
      <c r="D13" s="13">
        <f>-VLOOKUP(C13,[7]Summary!$D$5:$S$23,2,0)-[7]Summary!E18</f>
        <v>13673602078.530001</v>
      </c>
      <c r="E13" s="13">
        <f>-VLOOKUP(C13,[7]Summary!$D$5:$S$23,5,0)</f>
        <v>0</v>
      </c>
      <c r="F13" s="13">
        <f>-VLOOKUP(C13,[7]Summary!$D$5:$S$23,10,0)-[7]Summary!M18</f>
        <v>-112592670.38</v>
      </c>
      <c r="G13" s="13">
        <v>0</v>
      </c>
      <c r="H13" s="14">
        <f>-VLOOKUP(C13,[7]Summary!$D$5:$S$23,14,0)-[7]Summary!Q18</f>
        <v>13561009408.15</v>
      </c>
    </row>
    <row r="14" spans="1:10" s="5" customFormat="1" ht="39.950000000000003" customHeight="1" x14ac:dyDescent="0.25">
      <c r="A14" s="1"/>
      <c r="B14" s="108"/>
      <c r="C14" s="12" t="s">
        <v>10</v>
      </c>
      <c r="D14" s="13">
        <f>-VLOOKUP(C14,[7]Summary!$D$5:$S$23,2,0)</f>
        <v>334167326.85000002</v>
      </c>
      <c r="E14" s="13">
        <f>-VLOOKUP(C14,[7]Summary!$D$5:$S$23,5,0)</f>
        <v>0</v>
      </c>
      <c r="F14" s="13">
        <f>-VLOOKUP(C14,[7]Summary!$D$5:$S$23,10,0)</f>
        <v>0</v>
      </c>
      <c r="G14" s="13">
        <f>-VLOOKUP(C14,[7]Summary!$D$5:$S$23,11,0)</f>
        <v>5158586.95</v>
      </c>
      <c r="H14" s="14">
        <f>-VLOOKUP(C14,[7]Summary!$D$5:$S$23,14,0)</f>
        <v>339325913.80000001</v>
      </c>
    </row>
    <row r="15" spans="1:10" s="5" customFormat="1" ht="39.950000000000003" customHeight="1" x14ac:dyDescent="0.25">
      <c r="A15" s="1"/>
      <c r="B15" s="108"/>
      <c r="C15" s="12" t="s">
        <v>11</v>
      </c>
      <c r="D15" s="13">
        <f>-VLOOKUP(C15,[7]Summary!$D$5:$S$23,2,0)</f>
        <v>7950993287</v>
      </c>
      <c r="E15" s="13">
        <f>-VLOOKUP(C15,[7]Summary!$D$5:$S$23,5,0)</f>
        <v>0</v>
      </c>
      <c r="F15" s="13">
        <f>-VLOOKUP(C15,[7]Summary!$D$5:$S$23,10,0)</f>
        <v>-20816043</v>
      </c>
      <c r="G15" s="13">
        <f>-[7]Summary!O20</f>
        <v>100000000</v>
      </c>
      <c r="H15" s="14">
        <f>-VLOOKUP(C15,[7]Summary!$D$5:$S$23,14,0)</f>
        <v>8030177244</v>
      </c>
    </row>
    <row r="16" spans="1:10" s="5" customFormat="1" ht="39.950000000000003" customHeight="1" x14ac:dyDescent="0.25">
      <c r="A16" s="1"/>
      <c r="B16" s="108"/>
      <c r="C16" s="12" t="s">
        <v>12</v>
      </c>
      <c r="D16" s="13">
        <f>-VLOOKUP(C16,[7]Summary!$D$5:$S$22,2,0)-[7]Summary!E22</f>
        <v>74334255000</v>
      </c>
      <c r="E16" s="13">
        <f>-VLOOKUP(C16,[7]Summary!$D$5:$S$23,5,0)</f>
        <v>0</v>
      </c>
      <c r="F16" s="13">
        <f>-VLOOKUP(C16,[7]Summary!$D$5:$S$23,10,0)-[7]Summary!K22</f>
        <v>-16910000000</v>
      </c>
      <c r="G16" s="13">
        <v>0</v>
      </c>
      <c r="H16" s="14">
        <f>-VLOOKUP(C16,[7]Summary!$D$5:$S$23,14,0)-[7]Summary!Q22</f>
        <v>57424255000</v>
      </c>
      <c r="J16" s="16"/>
    </row>
    <row r="17" spans="1:8" s="5" customFormat="1" ht="45" customHeight="1" x14ac:dyDescent="0.25">
      <c r="A17" s="1"/>
      <c r="B17" s="109" t="s">
        <v>13</v>
      </c>
      <c r="C17" s="110"/>
      <c r="D17" s="17">
        <f>SUM(D9:D16)</f>
        <v>228076478692.38</v>
      </c>
      <c r="E17" s="17">
        <f t="shared" ref="E17:H17" si="1">SUM(E9:E16)</f>
        <v>0</v>
      </c>
      <c r="F17" s="17">
        <f t="shared" si="1"/>
        <v>-20343091713.380001</v>
      </c>
      <c r="G17" s="17">
        <f t="shared" si="1"/>
        <v>5158586.950000003</v>
      </c>
      <c r="H17" s="17">
        <f t="shared" si="1"/>
        <v>207738545565.94998</v>
      </c>
    </row>
    <row r="18" spans="1:8" s="5" customFormat="1" ht="45" customHeight="1" thickBot="1" x14ac:dyDescent="0.3">
      <c r="A18" s="1"/>
      <c r="B18" s="101" t="s">
        <v>21</v>
      </c>
      <c r="C18" s="102"/>
      <c r="D18" s="18">
        <f>D17+D8</f>
        <v>236121478692.38</v>
      </c>
      <c r="E18" s="18">
        <f t="shared" ref="E18:H18" si="2">E17+E8</f>
        <v>19020000000</v>
      </c>
      <c r="F18" s="18">
        <f t="shared" si="2"/>
        <v>-44363091713.380005</v>
      </c>
      <c r="G18" s="18">
        <f t="shared" si="2"/>
        <v>5158586.950000003</v>
      </c>
      <c r="H18" s="18">
        <f t="shared" si="2"/>
        <v>210783545565.94998</v>
      </c>
    </row>
    <row r="20" spans="1:8" ht="15.75" x14ac:dyDescent="0.25">
      <c r="B20" s="19" t="s">
        <v>22</v>
      </c>
    </row>
    <row r="21" spans="1:8" ht="15" x14ac:dyDescent="0.25">
      <c r="B21" s="70" t="s">
        <v>23</v>
      </c>
    </row>
    <row r="22" spans="1:8" ht="15" x14ac:dyDescent="0.25">
      <c r="B22" s="69" t="s">
        <v>24</v>
      </c>
    </row>
    <row r="23" spans="1:8" x14ac:dyDescent="0.25">
      <c r="B23" s="111" t="s">
        <v>41</v>
      </c>
      <c r="C23" s="111"/>
      <c r="D23" s="111"/>
      <c r="E23" s="111"/>
      <c r="F23" s="111"/>
      <c r="G23" s="111"/>
      <c r="H23" s="111"/>
    </row>
    <row r="24" spans="1:8" x14ac:dyDescent="0.25">
      <c r="B24" s="111"/>
      <c r="C24" s="111"/>
      <c r="D24" s="111"/>
      <c r="E24" s="111"/>
      <c r="F24" s="111"/>
      <c r="G24" s="111"/>
      <c r="H24" s="111"/>
    </row>
    <row r="25" spans="1:8" ht="15" x14ac:dyDescent="0.25">
      <c r="B25" s="73" t="s">
        <v>48</v>
      </c>
      <c r="C25" s="74"/>
      <c r="D25" s="75"/>
    </row>
    <row r="26" spans="1:8" ht="15" x14ac:dyDescent="0.25">
      <c r="B26" s="70"/>
    </row>
    <row r="27" spans="1:8" ht="15.75" x14ac:dyDescent="0.25">
      <c r="B27" s="19" t="s">
        <v>27</v>
      </c>
      <c r="D27" s="24"/>
      <c r="E27" s="24"/>
      <c r="F27" s="24"/>
      <c r="G27" s="24"/>
      <c r="H27" s="24"/>
    </row>
    <row r="28" spans="1:8" x14ac:dyDescent="0.25">
      <c r="B28" s="88" t="s">
        <v>28</v>
      </c>
      <c r="C28" s="88"/>
      <c r="D28" s="88"/>
      <c r="E28" s="88"/>
      <c r="F28" s="88"/>
      <c r="G28" s="88"/>
      <c r="H28" s="88"/>
    </row>
    <row r="29" spans="1:8" x14ac:dyDescent="0.25">
      <c r="B29" s="88"/>
      <c r="C29" s="88"/>
      <c r="D29" s="88"/>
      <c r="E29" s="88"/>
      <c r="F29" s="88"/>
      <c r="G29" s="88"/>
      <c r="H29" s="88"/>
    </row>
    <row r="30" spans="1:8" x14ac:dyDescent="0.25">
      <c r="B30" s="88"/>
      <c r="C30" s="88"/>
      <c r="D30" s="88"/>
      <c r="E30" s="88"/>
      <c r="F30" s="88"/>
      <c r="G30" s="88"/>
      <c r="H30" s="88"/>
    </row>
    <row r="31" spans="1:8" x14ac:dyDescent="0.25">
      <c r="B31" s="88"/>
      <c r="C31" s="88"/>
      <c r="D31" s="88"/>
      <c r="E31" s="88"/>
      <c r="F31" s="88"/>
      <c r="G31" s="88"/>
      <c r="H31" s="88"/>
    </row>
    <row r="32" spans="1:8" x14ac:dyDescent="0.25">
      <c r="B32" s="88"/>
      <c r="C32" s="88"/>
      <c r="D32" s="88"/>
      <c r="E32" s="88"/>
      <c r="F32" s="88"/>
      <c r="G32" s="88"/>
      <c r="H32" s="88"/>
    </row>
    <row r="33" spans="2:8" x14ac:dyDescent="0.25">
      <c r="B33" s="88"/>
      <c r="C33" s="88"/>
      <c r="D33" s="88"/>
      <c r="E33" s="88"/>
      <c r="F33" s="88"/>
      <c r="G33" s="88"/>
      <c r="H33" s="88"/>
    </row>
  </sheetData>
  <mergeCells count="8">
    <mergeCell ref="B23:H24"/>
    <mergeCell ref="B28:H33"/>
    <mergeCell ref="B4:H4"/>
    <mergeCell ref="B6:B7"/>
    <mergeCell ref="B8:C8"/>
    <mergeCell ref="B9:B16"/>
    <mergeCell ref="B17:C17"/>
    <mergeCell ref="B18:C18"/>
  </mergeCells>
  <pageMargins left="0.7" right="0.7" top="0.75" bottom="0.75" header="0.3" footer="0.3"/>
  <pageSetup paperSize="4" scale="59" orientation="landscape" r:id="rId1"/>
  <headerFooter alignWithMargins="0"/>
  <ignoredErrors>
    <ignoredError sqref="D8:F8 H8"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23133-CA65-4563-85EF-18C608AE5B5F}">
  <dimension ref="A1:J33"/>
  <sheetViews>
    <sheetView zoomScaleNormal="100" workbookViewId="0">
      <selection activeCell="B4" sqref="B4:H4"/>
    </sheetView>
  </sheetViews>
  <sheetFormatPr defaultRowHeight="13.5" x14ac:dyDescent="0.25"/>
  <cols>
    <col min="1" max="1" width="2" style="6" customWidth="1"/>
    <col min="2" max="2" width="25.7109375" style="23" customWidth="1"/>
    <col min="3" max="3" width="25.7109375" style="20" customWidth="1"/>
    <col min="4" max="8" width="25.7109375" style="21" customWidth="1"/>
    <col min="10" max="10" width="17.28515625" bestFit="1" customWidth="1"/>
  </cols>
  <sheetData>
    <row r="1" spans="1:10" s="5" customFormat="1" ht="6.95" customHeight="1" x14ac:dyDescent="0.25">
      <c r="A1" s="1"/>
      <c r="B1" s="2"/>
      <c r="C1" s="3"/>
      <c r="D1" s="4"/>
      <c r="E1" s="4"/>
      <c r="F1" s="4"/>
      <c r="G1" s="4"/>
      <c r="H1" s="4"/>
    </row>
    <row r="2" spans="1:10" s="5" customFormat="1" ht="21.4" customHeight="1" x14ac:dyDescent="0.25">
      <c r="A2" s="1"/>
      <c r="B2" s="6"/>
      <c r="C2" s="3"/>
      <c r="D2" s="4"/>
      <c r="E2" s="4"/>
      <c r="F2" s="4"/>
      <c r="G2" s="4"/>
      <c r="H2" s="4"/>
    </row>
    <row r="3" spans="1:10" s="5" customFormat="1" ht="18.2" customHeight="1" x14ac:dyDescent="0.25">
      <c r="A3" s="1"/>
      <c r="B3" s="7"/>
      <c r="C3" s="3"/>
      <c r="D3" s="4"/>
      <c r="E3" s="4"/>
      <c r="F3" s="4"/>
      <c r="G3" s="4"/>
      <c r="H3" s="4"/>
    </row>
    <row r="4" spans="1:10" s="5" customFormat="1" ht="20.85" customHeight="1" thickBot="1" x14ac:dyDescent="0.45">
      <c r="A4" s="1"/>
      <c r="B4" s="103" t="s">
        <v>49</v>
      </c>
      <c r="C4" s="103"/>
      <c r="D4" s="103"/>
      <c r="E4" s="103"/>
      <c r="F4" s="103"/>
      <c r="G4" s="103"/>
      <c r="H4" s="103"/>
    </row>
    <row r="5" spans="1:10" s="5" customFormat="1" ht="57.75" customHeight="1" x14ac:dyDescent="0.25">
      <c r="A5" s="1"/>
      <c r="B5" s="8" t="s">
        <v>0</v>
      </c>
      <c r="C5" s="9" t="s">
        <v>1</v>
      </c>
      <c r="D5" s="10" t="s">
        <v>14</v>
      </c>
      <c r="E5" s="10" t="s">
        <v>15</v>
      </c>
      <c r="F5" s="10" t="s">
        <v>16</v>
      </c>
      <c r="G5" s="10" t="s">
        <v>17</v>
      </c>
      <c r="H5" s="11" t="s">
        <v>18</v>
      </c>
    </row>
    <row r="6" spans="1:10" s="5" customFormat="1" ht="39.950000000000003" customHeight="1" x14ac:dyDescent="0.25">
      <c r="A6" s="1"/>
      <c r="B6" s="104" t="s">
        <v>19</v>
      </c>
      <c r="C6" s="12" t="s">
        <v>2</v>
      </c>
      <c r="D6" s="13">
        <f>-VLOOKUP(C6,[8]Summary!$D$5:$S$23,2,0)</f>
        <v>3045000000</v>
      </c>
      <c r="E6" s="13">
        <f>-VLOOKUP(C6,[8]Summary!$D$5:$S$23,5,0)</f>
        <v>875000000</v>
      </c>
      <c r="F6" s="13">
        <f>-VLOOKUP(C6,[8]Summary!$D$5:$S$23,10,0)</f>
        <v>-875000000</v>
      </c>
      <c r="G6" s="13">
        <v>0</v>
      </c>
      <c r="H6" s="14">
        <f>-VLOOKUP(C6,[8]Summary!$D$5:$S$23,14,0)</f>
        <v>3045000000</v>
      </c>
    </row>
    <row r="7" spans="1:10" s="5" customFormat="1" ht="39.950000000000003" customHeight="1" x14ac:dyDescent="0.25">
      <c r="A7" s="1"/>
      <c r="B7" s="105"/>
      <c r="C7" s="12" t="s">
        <v>3</v>
      </c>
      <c r="D7" s="13">
        <f>-VLOOKUP(C7,[8]Summary!$D$5:$S$23,2,0)</f>
        <v>0</v>
      </c>
      <c r="E7" s="13">
        <f>-VLOOKUP(C7,[8]Summary!$D$5:$S$23,5,0)</f>
        <v>0</v>
      </c>
      <c r="F7" s="13">
        <f>-VLOOKUP(C7,[8]Summary!$D$5:$S$23,10,0)</f>
        <v>0</v>
      </c>
      <c r="G7" s="13">
        <v>0</v>
      </c>
      <c r="H7" s="14">
        <f>-VLOOKUP(C7,[8]Summary!$D$5:$S$23,14,0)</f>
        <v>0</v>
      </c>
    </row>
    <row r="8" spans="1:10" s="5" customFormat="1" ht="39.950000000000003" customHeight="1" x14ac:dyDescent="0.25">
      <c r="A8" s="1"/>
      <c r="B8" s="106" t="s">
        <v>4</v>
      </c>
      <c r="C8" s="107"/>
      <c r="D8" s="15">
        <f>SUM(D6:D7)</f>
        <v>3045000000</v>
      </c>
      <c r="E8" s="15">
        <f t="shared" ref="E8:H8" si="0">SUM(E6:E7)</f>
        <v>875000000</v>
      </c>
      <c r="F8" s="15">
        <f t="shared" si="0"/>
        <v>-875000000</v>
      </c>
      <c r="G8" s="15">
        <f t="shared" si="0"/>
        <v>0</v>
      </c>
      <c r="H8" s="15">
        <f t="shared" si="0"/>
        <v>3045000000</v>
      </c>
    </row>
    <row r="9" spans="1:10" s="5" customFormat="1" ht="39.950000000000003" customHeight="1" x14ac:dyDescent="0.25">
      <c r="A9" s="1"/>
      <c r="B9" s="104" t="s">
        <v>20</v>
      </c>
      <c r="C9" s="12" t="s">
        <v>5</v>
      </c>
      <c r="D9" s="13">
        <f>-VLOOKUP(C9,[8]Summary!$D$5:$S$23,2,0)</f>
        <v>90969988000</v>
      </c>
      <c r="E9" s="13">
        <f>-VLOOKUP(C9,[8]Summary!$D$5:$S$23,5,0)</f>
        <v>0</v>
      </c>
      <c r="F9" s="13">
        <f>-VLOOKUP(C9,[8]Summary!$D$5:$S$23,10,0)</f>
        <v>0</v>
      </c>
      <c r="G9" s="13">
        <v>0</v>
      </c>
      <c r="H9" s="14">
        <f>-VLOOKUP(C9,[8]Summary!$D$5:$S$23,14,0)</f>
        <v>90969988000</v>
      </c>
    </row>
    <row r="10" spans="1:10" s="72" customFormat="1" ht="39.950000000000003" customHeight="1" x14ac:dyDescent="0.25">
      <c r="A10" s="71"/>
      <c r="B10" s="108"/>
      <c r="C10" s="12" t="s">
        <v>6</v>
      </c>
      <c r="D10" s="13">
        <f>-VLOOKUP(C10,[8]Summary!$D$5:$S$23,2,0)</f>
        <v>37413790000</v>
      </c>
      <c r="E10" s="13">
        <f>-VLOOKUP(C10,[8]Summary!$D$5:$S$23,5,0)</f>
        <v>0</v>
      </c>
      <c r="F10" s="13">
        <f>-VLOOKUP(C10,[8]Summary!$D$5:$S$23,10,0)</f>
        <v>0</v>
      </c>
      <c r="G10" s="13">
        <f>-[8]Summary!O15</f>
        <v>-20000000</v>
      </c>
      <c r="H10" s="14">
        <f>-VLOOKUP(C10,[8]Summary!$D$5:$S$23,14,0)</f>
        <v>37393790000</v>
      </c>
    </row>
    <row r="11" spans="1:10" s="5" customFormat="1" ht="39.950000000000003" customHeight="1" x14ac:dyDescent="0.25">
      <c r="A11" s="1"/>
      <c r="B11" s="108"/>
      <c r="C11" s="12" t="s">
        <v>7</v>
      </c>
      <c r="D11" s="13">
        <f>-VLOOKUP(C11,[8]Summary!$D$5:$S$23,2,0)</f>
        <v>0</v>
      </c>
      <c r="E11" s="13">
        <f>-VLOOKUP(C11,[8]Summary!$D$5:$S$23,5,0)</f>
        <v>0</v>
      </c>
      <c r="F11" s="13">
        <f>-VLOOKUP(C11,[8]Summary!$D$5:$S$23,10,0)</f>
        <v>0</v>
      </c>
      <c r="G11" s="13">
        <v>0</v>
      </c>
      <c r="H11" s="14">
        <f>-VLOOKUP(C11,[8]Summary!$D$5:$S$23,14,0)</f>
        <v>0</v>
      </c>
    </row>
    <row r="12" spans="1:10" s="5" customFormat="1" ht="39.950000000000003" customHeight="1" x14ac:dyDescent="0.25">
      <c r="A12" s="1"/>
      <c r="B12" s="108"/>
      <c r="C12" s="12" t="s">
        <v>8</v>
      </c>
      <c r="D12" s="13">
        <v>0</v>
      </c>
      <c r="E12" s="13">
        <v>0</v>
      </c>
      <c r="F12" s="13">
        <v>0</v>
      </c>
      <c r="G12" s="13">
        <v>0</v>
      </c>
      <c r="H12" s="14">
        <v>0</v>
      </c>
    </row>
    <row r="13" spans="1:10" s="5" customFormat="1" ht="39.950000000000003" customHeight="1" x14ac:dyDescent="0.25">
      <c r="A13" s="1"/>
      <c r="B13" s="108"/>
      <c r="C13" s="12" t="s">
        <v>9</v>
      </c>
      <c r="D13" s="13">
        <f>-VLOOKUP(C13,[8]Summary!$D$5:$S$23,2,0)-[8]Summary!E18</f>
        <v>13561009408.15</v>
      </c>
      <c r="E13" s="13">
        <f>-VLOOKUP(C13,[8]Summary!$D$5:$S$23,5,0)</f>
        <v>0</v>
      </c>
      <c r="F13" s="13">
        <f>-VLOOKUP(C13,[8]Summary!$D$5:$S$23,10,0)-[8]Summary!M18</f>
        <v>-2211546622.48</v>
      </c>
      <c r="G13" s="13">
        <v>0</v>
      </c>
      <c r="H13" s="14">
        <f>-VLOOKUP(C13,[8]Summary!$D$5:$S$23,14,0)-[8]Summary!Q18</f>
        <v>11349462785.67</v>
      </c>
    </row>
    <row r="14" spans="1:10" s="5" customFormat="1" ht="39.950000000000003" customHeight="1" x14ac:dyDescent="0.25">
      <c r="A14" s="1"/>
      <c r="B14" s="108"/>
      <c r="C14" s="12" t="s">
        <v>10</v>
      </c>
      <c r="D14" s="13">
        <f>-VLOOKUP(C14,[8]Summary!$D$5:$S$23,2,0)</f>
        <v>339325913.80000001</v>
      </c>
      <c r="E14" s="13">
        <f>-VLOOKUP(C14,[8]Summary!$D$5:$S$23,5,0)</f>
        <v>0</v>
      </c>
      <c r="F14" s="13">
        <f>-VLOOKUP(C14,[8]Summary!$D$5:$S$23,10,0)</f>
        <v>0</v>
      </c>
      <c r="G14" s="13">
        <f>-VLOOKUP(C14,[8]Summary!$D$5:$S$23,11,0)</f>
        <v>-9498744.6999999993</v>
      </c>
      <c r="H14" s="14">
        <f>-VLOOKUP(C14,[8]Summary!$D$5:$S$23,14,0)</f>
        <v>329827169.10000002</v>
      </c>
    </row>
    <row r="15" spans="1:10" s="5" customFormat="1" ht="39.950000000000003" customHeight="1" x14ac:dyDescent="0.25">
      <c r="A15" s="1"/>
      <c r="B15" s="108"/>
      <c r="C15" s="12" t="s">
        <v>11</v>
      </c>
      <c r="D15" s="13">
        <f>-VLOOKUP(C15,[8]Summary!$D$5:$S$23,2,0)</f>
        <v>8030177244</v>
      </c>
      <c r="E15" s="13">
        <f>-VLOOKUP(C15,[8]Summary!$D$5:$S$23,5,0)</f>
        <v>0</v>
      </c>
      <c r="F15" s="13">
        <f>-VLOOKUP(C15,[8]Summary!$D$5:$S$23,10,0)</f>
        <v>-30000000</v>
      </c>
      <c r="G15" s="13">
        <f>-[8]Summary!O20</f>
        <v>20000000</v>
      </c>
      <c r="H15" s="14">
        <f>-VLOOKUP(C15,[8]Summary!$D$5:$S$23,14,0)</f>
        <v>8020177244</v>
      </c>
    </row>
    <row r="16" spans="1:10" s="5" customFormat="1" ht="39.950000000000003" customHeight="1" x14ac:dyDescent="0.25">
      <c r="A16" s="1"/>
      <c r="B16" s="108"/>
      <c r="C16" s="12" t="s">
        <v>12</v>
      </c>
      <c r="D16" s="13">
        <f>-VLOOKUP(C16,[8]Summary!$D$5:$S$22,2,0)-[8]Summary!E22</f>
        <v>57424255000</v>
      </c>
      <c r="E16" s="13">
        <f>-VLOOKUP(C16,[8]Summary!$D$5:$S$23,5,0)</f>
        <v>0</v>
      </c>
      <c r="F16" s="13">
        <f>-VLOOKUP(C16,[8]Summary!$D$5:$S$23,10,0)-[8]Summary!K22</f>
        <v>0</v>
      </c>
      <c r="G16" s="13">
        <v>0</v>
      </c>
      <c r="H16" s="14">
        <f>-VLOOKUP(C16,[8]Summary!$D$5:$S$23,14,0)-[8]Summary!Q22</f>
        <v>57424255000</v>
      </c>
      <c r="J16" s="16"/>
    </row>
    <row r="17" spans="1:8" s="5" customFormat="1" ht="45" customHeight="1" x14ac:dyDescent="0.25">
      <c r="A17" s="1"/>
      <c r="B17" s="109" t="s">
        <v>13</v>
      </c>
      <c r="C17" s="110"/>
      <c r="D17" s="17">
        <f>SUM(D9:D16)</f>
        <v>207738545565.94998</v>
      </c>
      <c r="E17" s="17">
        <f t="shared" ref="E17:H17" si="1">SUM(E9:E16)</f>
        <v>0</v>
      </c>
      <c r="F17" s="17">
        <f t="shared" si="1"/>
        <v>-2241546622.48</v>
      </c>
      <c r="G17" s="17">
        <f t="shared" si="1"/>
        <v>-9498744.6999999993</v>
      </c>
      <c r="H17" s="17">
        <f t="shared" si="1"/>
        <v>205487500198.77002</v>
      </c>
    </row>
    <row r="18" spans="1:8" s="5" customFormat="1" ht="45" customHeight="1" thickBot="1" x14ac:dyDescent="0.3">
      <c r="A18" s="1"/>
      <c r="B18" s="101" t="s">
        <v>21</v>
      </c>
      <c r="C18" s="102"/>
      <c r="D18" s="18">
        <f>D17+D8</f>
        <v>210783545565.94998</v>
      </c>
      <c r="E18" s="18">
        <f t="shared" ref="E18:H18" si="2">E17+E8</f>
        <v>875000000</v>
      </c>
      <c r="F18" s="18">
        <f t="shared" si="2"/>
        <v>-3116546622.48</v>
      </c>
      <c r="G18" s="18">
        <f t="shared" si="2"/>
        <v>-9498744.6999999993</v>
      </c>
      <c r="H18" s="18">
        <f t="shared" si="2"/>
        <v>208532500198.77002</v>
      </c>
    </row>
    <row r="20" spans="1:8" ht="15.75" x14ac:dyDescent="0.25">
      <c r="B20" s="19" t="s">
        <v>22</v>
      </c>
    </row>
    <row r="21" spans="1:8" ht="15" x14ac:dyDescent="0.25">
      <c r="B21" s="70" t="s">
        <v>23</v>
      </c>
    </row>
    <row r="22" spans="1:8" ht="15" x14ac:dyDescent="0.25">
      <c r="B22" s="69" t="s">
        <v>24</v>
      </c>
    </row>
    <row r="23" spans="1:8" x14ac:dyDescent="0.25">
      <c r="B23" s="111" t="s">
        <v>41</v>
      </c>
      <c r="C23" s="111"/>
      <c r="D23" s="111"/>
      <c r="E23" s="111"/>
      <c r="F23" s="111"/>
      <c r="G23" s="111"/>
      <c r="H23" s="111"/>
    </row>
    <row r="24" spans="1:8" x14ac:dyDescent="0.25">
      <c r="B24" s="111"/>
      <c r="C24" s="111"/>
      <c r="D24" s="111"/>
      <c r="E24" s="111"/>
      <c r="F24" s="111"/>
      <c r="G24" s="111"/>
      <c r="H24" s="111"/>
    </row>
    <row r="25" spans="1:8" ht="15" x14ac:dyDescent="0.25">
      <c r="B25" s="73" t="s">
        <v>50</v>
      </c>
      <c r="C25" s="74"/>
      <c r="D25" s="75"/>
    </row>
    <row r="26" spans="1:8" ht="15" x14ac:dyDescent="0.25">
      <c r="B26" s="70"/>
    </row>
    <row r="27" spans="1:8" ht="15.75" x14ac:dyDescent="0.25">
      <c r="B27" s="19" t="s">
        <v>27</v>
      </c>
      <c r="D27" s="24"/>
      <c r="E27" s="24"/>
      <c r="F27" s="24"/>
      <c r="G27" s="24"/>
      <c r="H27" s="24"/>
    </row>
    <row r="28" spans="1:8" x14ac:dyDescent="0.25">
      <c r="B28" s="88" t="s">
        <v>28</v>
      </c>
      <c r="C28" s="88"/>
      <c r="D28" s="88"/>
      <c r="E28" s="88"/>
      <c r="F28" s="88"/>
      <c r="G28" s="88"/>
      <c r="H28" s="88"/>
    </row>
    <row r="29" spans="1:8" x14ac:dyDescent="0.25">
      <c r="B29" s="88"/>
      <c r="C29" s="88"/>
      <c r="D29" s="88"/>
      <c r="E29" s="88"/>
      <c r="F29" s="88"/>
      <c r="G29" s="88"/>
      <c r="H29" s="88"/>
    </row>
    <row r="30" spans="1:8" x14ac:dyDescent="0.25">
      <c r="B30" s="88"/>
      <c r="C30" s="88"/>
      <c r="D30" s="88"/>
      <c r="E30" s="88"/>
      <c r="F30" s="88"/>
      <c r="G30" s="88"/>
      <c r="H30" s="88"/>
    </row>
    <row r="31" spans="1:8" x14ac:dyDescent="0.25">
      <c r="B31" s="88"/>
      <c r="C31" s="88"/>
      <c r="D31" s="88"/>
      <c r="E31" s="88"/>
      <c r="F31" s="88"/>
      <c r="G31" s="88"/>
      <c r="H31" s="88"/>
    </row>
    <row r="32" spans="1:8" x14ac:dyDescent="0.25">
      <c r="B32" s="88"/>
      <c r="C32" s="88"/>
      <c r="D32" s="88"/>
      <c r="E32" s="88"/>
      <c r="F32" s="88"/>
      <c r="G32" s="88"/>
      <c r="H32" s="88"/>
    </row>
    <row r="33" spans="2:8" x14ac:dyDescent="0.25">
      <c r="B33" s="88"/>
      <c r="C33" s="88"/>
      <c r="D33" s="88"/>
      <c r="E33" s="88"/>
      <c r="F33" s="88"/>
      <c r="G33" s="88"/>
      <c r="H33" s="88"/>
    </row>
  </sheetData>
  <mergeCells count="8">
    <mergeCell ref="B23:H24"/>
    <mergeCell ref="B28:H33"/>
    <mergeCell ref="B4:H4"/>
    <mergeCell ref="B6:B7"/>
    <mergeCell ref="B8:C8"/>
    <mergeCell ref="B9:B16"/>
    <mergeCell ref="B17:C17"/>
    <mergeCell ref="B18:C18"/>
  </mergeCells>
  <pageMargins left="0.7" right="0.7" top="0.75" bottom="0.75" header="0.3" footer="0.3"/>
  <pageSetup paperSize="4" scale="59" orientation="landscape" r:id="rId1"/>
  <headerFooter alignWithMargins="0"/>
  <ignoredErrors>
    <ignoredError sqref="D8:F8 H8"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20F7A-0672-49DA-9C24-4FA831848D51}">
  <dimension ref="A1:J33"/>
  <sheetViews>
    <sheetView tabSelected="1" zoomScaleNormal="100" workbookViewId="0">
      <selection activeCell="B4" sqref="B4:H4"/>
    </sheetView>
  </sheetViews>
  <sheetFormatPr defaultRowHeight="13.5" x14ac:dyDescent="0.25"/>
  <cols>
    <col min="1" max="1" width="2" style="6" customWidth="1"/>
    <col min="2" max="2" width="25.7109375" style="23" customWidth="1"/>
    <col min="3" max="3" width="25.7109375" style="20" customWidth="1"/>
    <col min="4" max="8" width="25.7109375" style="21" customWidth="1"/>
    <col min="10" max="10" width="17.28515625" bestFit="1" customWidth="1"/>
  </cols>
  <sheetData>
    <row r="1" spans="1:10" s="5" customFormat="1" ht="6.95" customHeight="1" x14ac:dyDescent="0.25">
      <c r="A1" s="1"/>
      <c r="B1" s="2"/>
      <c r="C1" s="3"/>
      <c r="D1" s="4"/>
      <c r="E1" s="4"/>
      <c r="F1" s="4"/>
      <c r="G1" s="4"/>
      <c r="H1" s="4"/>
    </row>
    <row r="2" spans="1:10" s="5" customFormat="1" ht="21.4" customHeight="1" x14ac:dyDescent="0.25">
      <c r="A2" s="1"/>
      <c r="B2" s="6"/>
      <c r="C2" s="3"/>
      <c r="D2" s="4"/>
      <c r="E2" s="4"/>
      <c r="F2" s="4"/>
      <c r="G2" s="4"/>
      <c r="H2" s="4"/>
    </row>
    <row r="3" spans="1:10" s="5" customFormat="1" ht="18.2" customHeight="1" x14ac:dyDescent="0.25">
      <c r="A3" s="1"/>
      <c r="B3" s="7"/>
      <c r="C3" s="3"/>
      <c r="D3" s="4"/>
      <c r="E3" s="4"/>
      <c r="F3" s="4"/>
      <c r="G3" s="4"/>
      <c r="H3" s="4"/>
    </row>
    <row r="4" spans="1:10" s="5" customFormat="1" ht="20.85" customHeight="1" thickBot="1" x14ac:dyDescent="0.45">
      <c r="A4" s="1"/>
      <c r="B4" s="103" t="s">
        <v>55</v>
      </c>
      <c r="C4" s="103"/>
      <c r="D4" s="103"/>
      <c r="E4" s="103"/>
      <c r="F4" s="103"/>
      <c r="G4" s="103"/>
      <c r="H4" s="103"/>
    </row>
    <row r="5" spans="1:10" s="5" customFormat="1" ht="57.75" customHeight="1" x14ac:dyDescent="0.25">
      <c r="A5" s="1"/>
      <c r="B5" s="8" t="s">
        <v>0</v>
      </c>
      <c r="C5" s="9" t="s">
        <v>1</v>
      </c>
      <c r="D5" s="10" t="s">
        <v>14</v>
      </c>
      <c r="E5" s="10" t="s">
        <v>15</v>
      </c>
      <c r="F5" s="10" t="s">
        <v>16</v>
      </c>
      <c r="G5" s="10" t="s">
        <v>17</v>
      </c>
      <c r="H5" s="11" t="s">
        <v>18</v>
      </c>
    </row>
    <row r="6" spans="1:10" s="5" customFormat="1" ht="39.950000000000003" customHeight="1" x14ac:dyDescent="0.25">
      <c r="A6" s="1"/>
      <c r="B6" s="104" t="s">
        <v>19</v>
      </c>
      <c r="C6" s="12" t="s">
        <v>2</v>
      </c>
      <c r="D6" s="13">
        <f>-VLOOKUP(C6,[9]Summary!$D$5:$S$23,2,0)</f>
        <v>3045000000</v>
      </c>
      <c r="E6" s="13">
        <f>-VLOOKUP(C6,[9]Summary!$D$5:$S$23,5,0)</f>
        <v>38750000000</v>
      </c>
      <c r="F6" s="13">
        <f>-VLOOKUP(C6,[9]Summary!$D$5:$S$23,10,0)</f>
        <v>-39000000000</v>
      </c>
      <c r="G6" s="13">
        <v>0</v>
      </c>
      <c r="H6" s="14">
        <f>-VLOOKUP(C6,[9]Summary!$D$5:$S$23,14,0)</f>
        <v>2795000000</v>
      </c>
    </row>
    <row r="7" spans="1:10" s="5" customFormat="1" ht="39.950000000000003" customHeight="1" x14ac:dyDescent="0.25">
      <c r="A7" s="1"/>
      <c r="B7" s="105"/>
      <c r="C7" s="12" t="s">
        <v>3</v>
      </c>
      <c r="D7" s="13">
        <f>-VLOOKUP(C7,[9]Summary!$D$5:$S$23,2,0)</f>
        <v>0</v>
      </c>
      <c r="E7" s="13">
        <f>-VLOOKUP(C7,[9]Summary!$D$5:$S$23,5,0)</f>
        <v>0</v>
      </c>
      <c r="F7" s="13">
        <f>-VLOOKUP(C7,[9]Summary!$D$5:$S$23,10,0)</f>
        <v>0</v>
      </c>
      <c r="G7" s="13">
        <v>0</v>
      </c>
      <c r="H7" s="14">
        <f>-VLOOKUP(C7,[9]Summary!$D$5:$S$23,14,0)</f>
        <v>0</v>
      </c>
    </row>
    <row r="8" spans="1:10" s="5" customFormat="1" ht="39.950000000000003" customHeight="1" x14ac:dyDescent="0.25">
      <c r="A8" s="1"/>
      <c r="B8" s="106" t="s">
        <v>4</v>
      </c>
      <c r="C8" s="107"/>
      <c r="D8" s="15">
        <f>SUM(D6:D7)</f>
        <v>3045000000</v>
      </c>
      <c r="E8" s="15">
        <f t="shared" ref="E8:H8" si="0">SUM(E6:E7)</f>
        <v>38750000000</v>
      </c>
      <c r="F8" s="15">
        <f t="shared" si="0"/>
        <v>-39000000000</v>
      </c>
      <c r="G8" s="15">
        <f t="shared" si="0"/>
        <v>0</v>
      </c>
      <c r="H8" s="15">
        <f t="shared" si="0"/>
        <v>2795000000</v>
      </c>
    </row>
    <row r="9" spans="1:10" s="5" customFormat="1" ht="39.950000000000003" customHeight="1" x14ac:dyDescent="0.25">
      <c r="A9" s="1"/>
      <c r="B9" s="104" t="s">
        <v>20</v>
      </c>
      <c r="C9" s="12" t="s">
        <v>5</v>
      </c>
      <c r="D9" s="13">
        <f>-VLOOKUP(C9,[9]Summary!$D$5:$S$23,2,0)</f>
        <v>90969988000</v>
      </c>
      <c r="E9" s="13">
        <f>-VLOOKUP(C9,[9]Summary!$D$5:$S$23,5,0)</f>
        <v>0</v>
      </c>
      <c r="F9" s="13">
        <f>-VLOOKUP(C9,[9]Summary!$D$5:$S$23,10,0)</f>
        <v>0</v>
      </c>
      <c r="G9" s="13">
        <v>0</v>
      </c>
      <c r="H9" s="14">
        <f>-VLOOKUP(C9,[9]Summary!$D$5:$S$23,14,0)</f>
        <v>90969988000</v>
      </c>
    </row>
    <row r="10" spans="1:10" s="72" customFormat="1" ht="39.950000000000003" customHeight="1" x14ac:dyDescent="0.25">
      <c r="A10" s="71"/>
      <c r="B10" s="108"/>
      <c r="C10" s="12" t="s">
        <v>6</v>
      </c>
      <c r="D10" s="13">
        <f>-VLOOKUP(C10,[9]Summary!$D$5:$S$23,2,0)</f>
        <v>37393790000</v>
      </c>
      <c r="E10" s="13">
        <f>-VLOOKUP(C10,[9]Summary!$D$5:$S$23,5,0)</f>
        <v>0</v>
      </c>
      <c r="F10" s="13">
        <f>-VLOOKUP(C10,[9]Summary!$D$5:$S$23,10,0)</f>
        <v>0</v>
      </c>
      <c r="G10" s="13">
        <f>-[9]Summary!O15</f>
        <v>0</v>
      </c>
      <c r="H10" s="14">
        <f>-VLOOKUP(C10,[9]Summary!$D$5:$S$23,14,0)</f>
        <v>37393790000</v>
      </c>
    </row>
    <row r="11" spans="1:10" s="5" customFormat="1" ht="39.950000000000003" customHeight="1" x14ac:dyDescent="0.25">
      <c r="A11" s="1"/>
      <c r="B11" s="108"/>
      <c r="C11" s="12" t="s">
        <v>7</v>
      </c>
      <c r="D11" s="13">
        <f>-VLOOKUP(C11,[9]Summary!$D$5:$S$23,2,0)</f>
        <v>0</v>
      </c>
      <c r="E11" s="13">
        <f>-VLOOKUP(C11,[9]Summary!$D$5:$S$23,5,0)</f>
        <v>0</v>
      </c>
      <c r="F11" s="13">
        <f>-VLOOKUP(C11,[9]Summary!$D$5:$S$23,10,0)</f>
        <v>0</v>
      </c>
      <c r="G11" s="13">
        <v>0</v>
      </c>
      <c r="H11" s="14">
        <f>-VLOOKUP(C11,[9]Summary!$D$5:$S$23,14,0)</f>
        <v>0</v>
      </c>
    </row>
    <row r="12" spans="1:10" s="5" customFormat="1" ht="39.950000000000003" customHeight="1" x14ac:dyDescent="0.25">
      <c r="A12" s="1"/>
      <c r="B12" s="108"/>
      <c r="C12" s="12" t="s">
        <v>8</v>
      </c>
      <c r="D12" s="13">
        <v>0</v>
      </c>
      <c r="E12" s="13">
        <v>0</v>
      </c>
      <c r="F12" s="13">
        <v>0</v>
      </c>
      <c r="G12" s="13">
        <v>0</v>
      </c>
      <c r="H12" s="14">
        <v>0</v>
      </c>
    </row>
    <row r="13" spans="1:10" s="5" customFormat="1" ht="39.950000000000003" customHeight="1" x14ac:dyDescent="0.25">
      <c r="A13" s="1"/>
      <c r="B13" s="108"/>
      <c r="C13" s="12" t="s">
        <v>9</v>
      </c>
      <c r="D13" s="13">
        <f>-VLOOKUP(C13,[9]Summary!$D$5:$S$23,2,0)-[9]Summary!E18</f>
        <v>11349462785.67</v>
      </c>
      <c r="E13" s="13">
        <f>-VLOOKUP(C13,[9]Summary!$D$5:$S$23,5,0)</f>
        <v>0</v>
      </c>
      <c r="F13" s="13">
        <f>-VLOOKUP(C13,[9]Summary!$D$5:$S$23,10,0)-[9]Summary!M18</f>
        <v>-182889459.64000002</v>
      </c>
      <c r="G13" s="13">
        <v>0</v>
      </c>
      <c r="H13" s="14">
        <f>-VLOOKUP(C13,[9]Summary!$D$5:$S$23,14,0)-[9]Summary!Q18</f>
        <v>11166573326.029999</v>
      </c>
    </row>
    <row r="14" spans="1:10" s="5" customFormat="1" ht="39.950000000000003" customHeight="1" x14ac:dyDescent="0.25">
      <c r="A14" s="1"/>
      <c r="B14" s="108"/>
      <c r="C14" s="12" t="s">
        <v>10</v>
      </c>
      <c r="D14" s="13">
        <f>-VLOOKUP(C14,[9]Summary!$D$5:$S$23,2,0)</f>
        <v>329827169.10000002</v>
      </c>
      <c r="E14" s="13">
        <f>-VLOOKUP(C14,[9]Summary!$D$5:$S$23,5,0)</f>
        <v>0</v>
      </c>
      <c r="F14" s="13">
        <f>-VLOOKUP(C14,[9]Summary!$D$5:$S$23,10,0)</f>
        <v>0</v>
      </c>
      <c r="G14" s="13">
        <f>-VLOOKUP(C14,[9]Summary!$D$5:$S$23,11,0)</f>
        <v>5778609.7000000002</v>
      </c>
      <c r="H14" s="14">
        <f>-VLOOKUP(C14,[9]Summary!$D$5:$S$23,14,0)</f>
        <v>335605778.80000001</v>
      </c>
    </row>
    <row r="15" spans="1:10" s="5" customFormat="1" ht="39.950000000000003" customHeight="1" x14ac:dyDescent="0.25">
      <c r="A15" s="1"/>
      <c r="B15" s="108"/>
      <c r="C15" s="12" t="s">
        <v>11</v>
      </c>
      <c r="D15" s="13">
        <f>-VLOOKUP(C15,[9]Summary!$D$5:$S$23,2,0)</f>
        <v>8020177244</v>
      </c>
      <c r="E15" s="13">
        <f>-VLOOKUP(C15,[9]Summary!$D$5:$S$23,5,0)</f>
        <v>0</v>
      </c>
      <c r="F15" s="13">
        <f>-VLOOKUP(C15,[9]Summary!$D$5:$S$23,10,0)</f>
        <v>-30000000</v>
      </c>
      <c r="G15" s="13">
        <f>-[9]Summary!O20</f>
        <v>0</v>
      </c>
      <c r="H15" s="14">
        <f>-VLOOKUP(C15,[9]Summary!$D$5:$S$23,14,0)</f>
        <v>7990177244</v>
      </c>
    </row>
    <row r="16" spans="1:10" s="5" customFormat="1" ht="39.950000000000003" customHeight="1" x14ac:dyDescent="0.25">
      <c r="A16" s="1"/>
      <c r="B16" s="108"/>
      <c r="C16" s="12" t="s">
        <v>12</v>
      </c>
      <c r="D16" s="13">
        <f>-VLOOKUP(C16,[9]Summary!$D$5:$S$22,2,0)-[9]Summary!E22</f>
        <v>57424255000</v>
      </c>
      <c r="E16" s="13">
        <f>-VLOOKUP(C16,[9]Summary!$D$5:$S$23,5,0)</f>
        <v>0</v>
      </c>
      <c r="F16" s="13">
        <f>-VLOOKUP(C16,[9]Summary!$D$5:$S$23,10,0)-[9]Summary!K22</f>
        <v>-5588255000</v>
      </c>
      <c r="G16" s="13">
        <v>0</v>
      </c>
      <c r="H16" s="14">
        <f>-VLOOKUP(C16,[9]Summary!$D$5:$S$23,14,0)-[9]Summary!Q22</f>
        <v>51836000000</v>
      </c>
      <c r="J16" s="16"/>
    </row>
    <row r="17" spans="1:8" s="5" customFormat="1" ht="45" customHeight="1" x14ac:dyDescent="0.25">
      <c r="A17" s="1"/>
      <c r="B17" s="109" t="s">
        <v>13</v>
      </c>
      <c r="C17" s="110"/>
      <c r="D17" s="17">
        <f>SUM(D9:D16)</f>
        <v>205487500198.77002</v>
      </c>
      <c r="E17" s="17">
        <f t="shared" ref="E17:H17" si="1">SUM(E9:E16)</f>
        <v>0</v>
      </c>
      <c r="F17" s="17">
        <f t="shared" si="1"/>
        <v>-5801144459.6400003</v>
      </c>
      <c r="G17" s="17">
        <f t="shared" si="1"/>
        <v>5778609.7000000002</v>
      </c>
      <c r="H17" s="17">
        <f t="shared" si="1"/>
        <v>199692134348.82999</v>
      </c>
    </row>
    <row r="18" spans="1:8" s="5" customFormat="1" ht="45" customHeight="1" thickBot="1" x14ac:dyDescent="0.3">
      <c r="A18" s="1"/>
      <c r="B18" s="101" t="s">
        <v>21</v>
      </c>
      <c r="C18" s="102"/>
      <c r="D18" s="18">
        <f>D17+D8</f>
        <v>208532500198.77002</v>
      </c>
      <c r="E18" s="18">
        <f t="shared" ref="E18:H18" si="2">E17+E8</f>
        <v>38750000000</v>
      </c>
      <c r="F18" s="18">
        <f t="shared" si="2"/>
        <v>-44801144459.639999</v>
      </c>
      <c r="G18" s="18">
        <f t="shared" si="2"/>
        <v>5778609.7000000002</v>
      </c>
      <c r="H18" s="18">
        <f t="shared" si="2"/>
        <v>202487134348.82999</v>
      </c>
    </row>
    <row r="20" spans="1:8" ht="15.75" x14ac:dyDescent="0.25">
      <c r="B20" s="19" t="s">
        <v>22</v>
      </c>
    </row>
    <row r="21" spans="1:8" ht="15" x14ac:dyDescent="0.25">
      <c r="B21" s="70" t="s">
        <v>23</v>
      </c>
    </row>
    <row r="22" spans="1:8" ht="15" x14ac:dyDescent="0.25">
      <c r="B22" s="69" t="s">
        <v>24</v>
      </c>
    </row>
    <row r="23" spans="1:8" x14ac:dyDescent="0.25">
      <c r="B23" s="111" t="s">
        <v>41</v>
      </c>
      <c r="C23" s="111"/>
      <c r="D23" s="111"/>
      <c r="E23" s="111"/>
      <c r="F23" s="111"/>
      <c r="G23" s="111"/>
      <c r="H23" s="111"/>
    </row>
    <row r="24" spans="1:8" x14ac:dyDescent="0.25">
      <c r="B24" s="111"/>
      <c r="C24" s="111"/>
      <c r="D24" s="111"/>
      <c r="E24" s="111"/>
      <c r="F24" s="111"/>
      <c r="G24" s="111"/>
      <c r="H24" s="111"/>
    </row>
    <row r="25" spans="1:8" ht="15" x14ac:dyDescent="0.25">
      <c r="B25" s="73" t="s">
        <v>56</v>
      </c>
      <c r="C25" s="74"/>
      <c r="D25" s="75"/>
    </row>
    <row r="26" spans="1:8" ht="15" x14ac:dyDescent="0.25">
      <c r="B26" s="70"/>
    </row>
    <row r="27" spans="1:8" ht="15.75" x14ac:dyDescent="0.25">
      <c r="B27" s="19" t="s">
        <v>27</v>
      </c>
      <c r="D27" s="24"/>
      <c r="E27" s="24"/>
      <c r="F27" s="24"/>
      <c r="G27" s="24"/>
      <c r="H27" s="24"/>
    </row>
    <row r="28" spans="1:8" x14ac:dyDescent="0.25">
      <c r="B28" s="88" t="s">
        <v>28</v>
      </c>
      <c r="C28" s="88"/>
      <c r="D28" s="88"/>
      <c r="E28" s="88"/>
      <c r="F28" s="88"/>
      <c r="G28" s="88"/>
      <c r="H28" s="88"/>
    </row>
    <row r="29" spans="1:8" x14ac:dyDescent="0.25">
      <c r="B29" s="88"/>
      <c r="C29" s="88"/>
      <c r="D29" s="88"/>
      <c r="E29" s="88"/>
      <c r="F29" s="88"/>
      <c r="G29" s="88"/>
      <c r="H29" s="88"/>
    </row>
    <row r="30" spans="1:8" x14ac:dyDescent="0.25">
      <c r="B30" s="88"/>
      <c r="C30" s="88"/>
      <c r="D30" s="88"/>
      <c r="E30" s="88"/>
      <c r="F30" s="88"/>
      <c r="G30" s="88"/>
      <c r="H30" s="88"/>
    </row>
    <row r="31" spans="1:8" x14ac:dyDescent="0.25">
      <c r="B31" s="88"/>
      <c r="C31" s="88"/>
      <c r="D31" s="88"/>
      <c r="E31" s="88"/>
      <c r="F31" s="88"/>
      <c r="G31" s="88"/>
      <c r="H31" s="88"/>
    </row>
    <row r="32" spans="1:8" x14ac:dyDescent="0.25">
      <c r="B32" s="88"/>
      <c r="C32" s="88"/>
      <c r="D32" s="88"/>
      <c r="E32" s="88"/>
      <c r="F32" s="88"/>
      <c r="G32" s="88"/>
      <c r="H32" s="88"/>
    </row>
    <row r="33" spans="2:8" x14ac:dyDescent="0.25">
      <c r="B33" s="88"/>
      <c r="C33" s="88"/>
      <c r="D33" s="88"/>
      <c r="E33" s="88"/>
      <c r="F33" s="88"/>
      <c r="G33" s="88"/>
      <c r="H33" s="88"/>
    </row>
  </sheetData>
  <mergeCells count="8">
    <mergeCell ref="B23:H24"/>
    <mergeCell ref="B28:H33"/>
    <mergeCell ref="B4:H4"/>
    <mergeCell ref="B6:B7"/>
    <mergeCell ref="B8:C8"/>
    <mergeCell ref="B9:B16"/>
    <mergeCell ref="B17:C17"/>
    <mergeCell ref="B18:C18"/>
  </mergeCells>
  <pageMargins left="0.7" right="0.7" top="0.75" bottom="0.75" header="0.3" footer="0.3"/>
  <pageSetup paperSize="4" scale="59" orientation="landscape" r:id="rId1"/>
  <headerFooter alignWithMargins="0"/>
  <ignoredErrors>
    <ignoredError sqref="D8:F8 H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10728-9D0F-40A8-90EC-A194F8A8A9A7}">
  <dimension ref="A1:J27"/>
  <sheetViews>
    <sheetView zoomScale="94" zoomScaleNormal="94" workbookViewId="0">
      <selection activeCell="B4" sqref="B4:H4"/>
    </sheetView>
  </sheetViews>
  <sheetFormatPr defaultRowHeight="13.5" x14ac:dyDescent="0.25"/>
  <cols>
    <col min="1" max="1" width="2" style="31" customWidth="1"/>
    <col min="2" max="2" width="25.7109375" style="54" customWidth="1"/>
    <col min="3" max="3" width="25.7109375" style="48" customWidth="1"/>
    <col min="4" max="8" width="25.7109375" style="49" customWidth="1"/>
    <col min="9" max="9" width="9.140625" style="50"/>
    <col min="10" max="10" width="17.28515625" style="50" bestFit="1" customWidth="1"/>
    <col min="11" max="16384" width="9.140625" style="50"/>
  </cols>
  <sheetData>
    <row r="1" spans="1:10" s="30" customFormat="1" ht="6.95" customHeight="1" x14ac:dyDescent="0.25">
      <c r="A1" s="26"/>
      <c r="B1" s="27"/>
      <c r="C1" s="28"/>
      <c r="D1" s="29"/>
      <c r="E1" s="29"/>
      <c r="F1" s="29"/>
      <c r="G1" s="29"/>
      <c r="H1" s="29"/>
    </row>
    <row r="2" spans="1:10" s="30" customFormat="1" ht="21.4" customHeight="1" x14ac:dyDescent="0.25">
      <c r="A2" s="26"/>
      <c r="B2" s="31"/>
      <c r="C2" s="28"/>
      <c r="D2" s="29"/>
      <c r="E2" s="29"/>
      <c r="F2" s="29"/>
      <c r="G2" s="29"/>
      <c r="H2" s="29"/>
    </row>
    <row r="3" spans="1:10" s="30" customFormat="1" ht="18.2" customHeight="1" x14ac:dyDescent="0.25">
      <c r="A3" s="26"/>
      <c r="B3" s="32"/>
      <c r="C3" s="28"/>
      <c r="D3" s="29"/>
      <c r="E3" s="29"/>
      <c r="F3" s="29"/>
      <c r="G3" s="29"/>
      <c r="H3" s="29"/>
    </row>
    <row r="4" spans="1:10" s="30" customFormat="1" ht="20.85" customHeight="1" thickBot="1" x14ac:dyDescent="0.45">
      <c r="A4" s="26"/>
      <c r="B4" s="78" t="s">
        <v>34</v>
      </c>
      <c r="C4" s="78"/>
      <c r="D4" s="78"/>
      <c r="E4" s="78"/>
      <c r="F4" s="78"/>
      <c r="G4" s="78"/>
      <c r="H4" s="78"/>
    </row>
    <row r="5" spans="1:10" s="30" customFormat="1" ht="39.950000000000003" customHeight="1" x14ac:dyDescent="0.25">
      <c r="A5" s="26"/>
      <c r="B5" s="33" t="s">
        <v>0</v>
      </c>
      <c r="C5" s="34" t="s">
        <v>1</v>
      </c>
      <c r="D5" s="35" t="s">
        <v>14</v>
      </c>
      <c r="E5" s="35" t="s">
        <v>15</v>
      </c>
      <c r="F5" s="35" t="s">
        <v>16</v>
      </c>
      <c r="G5" s="35" t="s">
        <v>17</v>
      </c>
      <c r="H5" s="36" t="s">
        <v>18</v>
      </c>
    </row>
    <row r="6" spans="1:10" s="30" customFormat="1" ht="39.950000000000003" customHeight="1" x14ac:dyDescent="0.25">
      <c r="A6" s="26"/>
      <c r="B6" s="79" t="s">
        <v>19</v>
      </c>
      <c r="C6" s="37" t="s">
        <v>2</v>
      </c>
      <c r="D6" s="38">
        <f>-VLOOKUP(C6,'[1]Summary from Debt Acctg'!$D$5:$S$26,2,0)</f>
        <v>3793867000</v>
      </c>
      <c r="E6" s="38">
        <f>-VLOOKUP(C6,'[1]Summary from Debt Acctg'!$D$5:$S$26,5,0)</f>
        <v>0</v>
      </c>
      <c r="F6" s="38">
        <f>-VLOOKUP(C6,'[1]Summary from Debt Acctg'!$D$5:$S$26,10,0)</f>
        <v>-769000000</v>
      </c>
      <c r="G6" s="38" t="str">
        <f>VLOOKUP(C6,'[1]Summary from Debt Acctg'!$D$5:$S$26,11,0)</f>
        <v>0.00</v>
      </c>
      <c r="H6" s="39">
        <f>-VLOOKUP(C6,'[1]Summary from Debt Acctg'!$D$5:$S$26,14,0)</f>
        <v>3024867000</v>
      </c>
    </row>
    <row r="7" spans="1:10" s="30" customFormat="1" ht="39.950000000000003" customHeight="1" x14ac:dyDescent="0.25">
      <c r="A7" s="26"/>
      <c r="B7" s="80"/>
      <c r="C7" s="37" t="s">
        <v>3</v>
      </c>
      <c r="D7" s="38">
        <f>-VLOOKUP(C7,'[1]Summary from Debt Acctg'!$D$5:$S$26,2,0)</f>
        <v>7445000000</v>
      </c>
      <c r="E7" s="38">
        <f>-VLOOKUP(C7,'[1]Summary from Debt Acctg'!$D$5:$S$26,5,0)</f>
        <v>0</v>
      </c>
      <c r="F7" s="38">
        <f>-VLOOKUP(C7,'[1]Summary from Debt Acctg'!$D$5:$S$26,10,0)</f>
        <v>0</v>
      </c>
      <c r="G7" s="38" t="str">
        <f>VLOOKUP(C7,'[1]Summary from Debt Acctg'!$D$5:$S$26,11,0)</f>
        <v>0.00</v>
      </c>
      <c r="H7" s="39">
        <f>-VLOOKUP(C7,'[1]Summary from Debt Acctg'!$D$5:$S$26,14,0)</f>
        <v>7445000000</v>
      </c>
    </row>
    <row r="8" spans="1:10" s="30" customFormat="1" ht="39.950000000000003" customHeight="1" x14ac:dyDescent="0.25">
      <c r="A8" s="26"/>
      <c r="B8" s="81" t="s">
        <v>4</v>
      </c>
      <c r="C8" s="82"/>
      <c r="D8" s="40">
        <f>SUM(D6:D7)</f>
        <v>11238867000</v>
      </c>
      <c r="E8" s="40">
        <f t="shared" ref="E8:H8" si="0">SUM(E6:E7)</f>
        <v>0</v>
      </c>
      <c r="F8" s="40">
        <f t="shared" si="0"/>
        <v>-769000000</v>
      </c>
      <c r="G8" s="40">
        <f t="shared" si="0"/>
        <v>0</v>
      </c>
      <c r="H8" s="41">
        <f t="shared" si="0"/>
        <v>10469867000</v>
      </c>
    </row>
    <row r="9" spans="1:10" s="30" customFormat="1" ht="39.950000000000003" customHeight="1" x14ac:dyDescent="0.25">
      <c r="A9" s="26"/>
      <c r="B9" s="79" t="s">
        <v>20</v>
      </c>
      <c r="C9" s="37" t="s">
        <v>5</v>
      </c>
      <c r="D9" s="38">
        <f>-VLOOKUP(C9,'[1]Summary from Debt Acctg'!$D$5:$S$26,2,0)</f>
        <v>106929149000</v>
      </c>
      <c r="E9" s="38">
        <f>-VLOOKUP(C9,'[1]Summary from Debt Acctg'!$D$5:$S$26,5,0)</f>
        <v>0</v>
      </c>
      <c r="F9" s="38">
        <f>-VLOOKUP(C9,'[1]Summary from Debt Acctg'!$D$5:$S$26,10,0)</f>
        <v>-2978090000</v>
      </c>
      <c r="G9" s="38" t="str">
        <f>VLOOKUP(C9,'[1]Summary from Debt Acctg'!$D$5:$S$26,11,0)</f>
        <v>0.00</v>
      </c>
      <c r="H9" s="39">
        <f>-VLOOKUP(C9,'[1]Summary from Debt Acctg'!$D$5:$S$26,14,0)</f>
        <v>103951059000</v>
      </c>
    </row>
    <row r="10" spans="1:10" s="30" customFormat="1" ht="39.950000000000003" customHeight="1" x14ac:dyDescent="0.25">
      <c r="A10" s="26"/>
      <c r="B10" s="83"/>
      <c r="C10" s="37" t="s">
        <v>6</v>
      </c>
      <c r="D10" s="38">
        <f>-VLOOKUP(C10,'[1]Summary from Debt Acctg'!$D$5:$S$26,2,0)</f>
        <v>46404790000</v>
      </c>
      <c r="E10" s="38">
        <f>-VLOOKUP(C10,'[1]Summary from Debt Acctg'!$D$5:$S$26,5,0)</f>
        <v>0</v>
      </c>
      <c r="F10" s="38">
        <f>-VLOOKUP(C10,'[1]Summary from Debt Acctg'!$D$5:$S$26,10,0)</f>
        <v>-555000000</v>
      </c>
      <c r="G10" s="38" t="str">
        <f>VLOOKUP(C10,'[1]Summary from Debt Acctg'!$D$5:$S$26,11,0)</f>
        <v>0.00</v>
      </c>
      <c r="H10" s="39">
        <f>-VLOOKUP(C10,'[1]Summary from Debt Acctg'!$D$5:$S$26,14,0)</f>
        <v>45849790000</v>
      </c>
    </row>
    <row r="11" spans="1:10" s="30" customFormat="1" ht="39.950000000000003" customHeight="1" x14ac:dyDescent="0.25">
      <c r="A11" s="26"/>
      <c r="B11" s="83"/>
      <c r="C11" s="37" t="s">
        <v>7</v>
      </c>
      <c r="D11" s="38">
        <f>-VLOOKUP(C11,'[1]Summary from Debt Acctg'!$D$5:$S$26,2,0)</f>
        <v>0</v>
      </c>
      <c r="E11" s="38">
        <f>-VLOOKUP(C11,'[1]Summary from Debt Acctg'!$D$5:$S$26,5,0)</f>
        <v>0</v>
      </c>
      <c r="F11" s="38">
        <f>-VLOOKUP(C11,'[1]Summary from Debt Acctg'!$D$5:$S$26,10,0)</f>
        <v>0</v>
      </c>
      <c r="G11" s="38" t="str">
        <f>VLOOKUP(C11,'[1]Summary from Debt Acctg'!$D$5:$S$26,11,0)</f>
        <v>0.00</v>
      </c>
      <c r="H11" s="39">
        <f>-VLOOKUP(C11,'[1]Summary from Debt Acctg'!$D$5:$S$26,14,0)</f>
        <v>0</v>
      </c>
    </row>
    <row r="12" spans="1:10" s="30" customFormat="1" ht="39.950000000000003" customHeight="1" x14ac:dyDescent="0.25">
      <c r="A12" s="26"/>
      <c r="B12" s="83"/>
      <c r="C12" s="37" t="s">
        <v>8</v>
      </c>
      <c r="D12" s="38">
        <f>-VLOOKUP(C12,'[1]Summary from Debt Acctg'!$D$5:$S$26,2,0)</f>
        <v>26505.85</v>
      </c>
      <c r="E12" s="38">
        <f>-VLOOKUP(C12,'[1]Summary from Debt Acctg'!$D$5:$S$26,5,0)</f>
        <v>0</v>
      </c>
      <c r="F12" s="38">
        <f>-VLOOKUP(C12,'[1]Summary from Debt Acctg'!$D$5:$S$26,10,0)</f>
        <v>0</v>
      </c>
      <c r="G12" s="38" t="str">
        <f>VLOOKUP(C12,'[1]Summary from Debt Acctg'!$D$5:$S$26,11,0)</f>
        <v>0.00</v>
      </c>
      <c r="H12" s="39">
        <f>-VLOOKUP(C12,'[1]Summary from Debt Acctg'!$D$5:$S$26,14,0)</f>
        <v>26505.85</v>
      </c>
    </row>
    <row r="13" spans="1:10" s="30" customFormat="1" ht="39.950000000000003" customHeight="1" x14ac:dyDescent="0.25">
      <c r="A13" s="26"/>
      <c r="B13" s="83"/>
      <c r="C13" s="37" t="s">
        <v>9</v>
      </c>
      <c r="D13" s="38">
        <f>-VLOOKUP(C13,'[1]Summary from Debt Acctg'!$D$5:$S$26,2,0)+-'[1]Summary from Debt Acctg'!E19</f>
        <v>14878614902.58</v>
      </c>
      <c r="E13" s="38">
        <f>-VLOOKUP(C13,'[1]Summary from Debt Acctg'!$D$5:$S$26,5,0)+-'[1]Summary from Debt Acctg'!H18</f>
        <v>0</v>
      </c>
      <c r="F13" s="38">
        <f>-VLOOKUP(C13,'[1]Summary from Debt Acctg'!$D$5:$S$26,10,0)+-'[1]Summary from Debt Acctg'!M19</f>
        <v>-127073677.78</v>
      </c>
      <c r="G13" s="38" t="str">
        <f>VLOOKUP(C13,'[1]Summary from Debt Acctg'!$D$5:$S$26,11,0)</f>
        <v>0.00</v>
      </c>
      <c r="H13" s="39">
        <f>-VLOOKUP(C13,'[1]Summary from Debt Acctg'!$D$5:$S$26,14,0)+-'[1]Summary from Debt Acctg'!Q19</f>
        <v>14751541224.799999</v>
      </c>
    </row>
    <row r="14" spans="1:10" s="30" customFormat="1" ht="39.950000000000003" customHeight="1" x14ac:dyDescent="0.25">
      <c r="A14" s="26"/>
      <c r="B14" s="83"/>
      <c r="C14" s="37" t="s">
        <v>10</v>
      </c>
      <c r="D14" s="38">
        <f>-VLOOKUP(C14,'[1]Summary from Debt Acctg'!$D$5:$S$26,2,0)</f>
        <v>477050737.55000001</v>
      </c>
      <c r="E14" s="38">
        <f>-VLOOKUP(C14,'[1]Summary from Debt Acctg'!$D$5:$S$26,5,0)</f>
        <v>0</v>
      </c>
      <c r="F14" s="38">
        <f>-VLOOKUP(C14,'[1]Summary from Debt Acctg'!$D$5:$S$26,10,0)</f>
        <v>0</v>
      </c>
      <c r="G14" s="38">
        <f>-VLOOKUP(C14,'[1]Summary from Debt Acctg'!$D$5:$S$26,11,0)</f>
        <v>7830201.8099999996</v>
      </c>
      <c r="H14" s="39">
        <f>-VLOOKUP(C14,'[1]Summary from Debt Acctg'!$D$5:$S$26,14,0)</f>
        <v>484880939.36000001</v>
      </c>
    </row>
    <row r="15" spans="1:10" s="30" customFormat="1" ht="39.950000000000003" customHeight="1" x14ac:dyDescent="0.25">
      <c r="A15" s="26"/>
      <c r="B15" s="83"/>
      <c r="C15" s="37" t="s">
        <v>11</v>
      </c>
      <c r="D15" s="38">
        <f>-VLOOKUP(C15,'[1]Summary from Debt Acctg'!$D$5:$S$26,2,0)</f>
        <v>9631440192.75</v>
      </c>
      <c r="E15" s="38">
        <f>-VLOOKUP(C15,'[1]Summary from Debt Acctg'!$D$5:$S$26,5,0)</f>
        <v>0</v>
      </c>
      <c r="F15" s="38">
        <f>-VLOOKUP(C15,'[1]Summary from Debt Acctg'!$D$5:$S$26,10,0)</f>
        <v>-95000000</v>
      </c>
      <c r="G15" s="38" t="str">
        <f>VLOOKUP(C15,'[1]Summary from Debt Acctg'!$D$5:$S$26,11,0)</f>
        <v>0.00</v>
      </c>
      <c r="H15" s="39">
        <f>-VLOOKUP(C15,'[1]Summary from Debt Acctg'!$D$5:$S$26,14,0)</f>
        <v>9536440192.75</v>
      </c>
    </row>
    <row r="16" spans="1:10" s="30" customFormat="1" ht="39.950000000000003" customHeight="1" x14ac:dyDescent="0.25">
      <c r="A16" s="26"/>
      <c r="B16" s="83"/>
      <c r="C16" s="37" t="s">
        <v>12</v>
      </c>
      <c r="D16" s="38">
        <f>-VLOOKUP(C16,'[1]Summary from Debt Acctg'!$D$5:$S$26,2,0)+-'[1]Summary from Debt Acctg'!E23</f>
        <v>98359255000</v>
      </c>
      <c r="E16" s="38">
        <f>-VLOOKUP(C16,'[1]Summary from Debt Acctg'!$D$5:$S$26,5,0)+-'[1]Summary from Debt Acctg'!H23</f>
        <v>0</v>
      </c>
      <c r="F16" s="38">
        <f>-VLOOKUP(C16,'[1]Summary from Debt Acctg'!$D$5:$S$26,10,0)+-'[1]Summary from Debt Acctg'!M23</f>
        <v>0</v>
      </c>
      <c r="G16" s="38" t="str">
        <f>VLOOKUP(C16,'[1]Summary from Debt Acctg'!$D$5:$S$26,11,0)</f>
        <v>0.00</v>
      </c>
      <c r="H16" s="39">
        <f>-VLOOKUP(C16,'[1]Summary from Debt Acctg'!$D$5:$S$26,14,0)+-'[1]Summary from Debt Acctg'!Q23</f>
        <v>98359255000</v>
      </c>
      <c r="J16" s="42"/>
    </row>
    <row r="17" spans="1:8" s="30" customFormat="1" ht="45" customHeight="1" x14ac:dyDescent="0.25">
      <c r="A17" s="26"/>
      <c r="B17" s="84" t="s">
        <v>13</v>
      </c>
      <c r="C17" s="85"/>
      <c r="D17" s="43">
        <f>SUM(D9:D16)</f>
        <v>276680326338.72998</v>
      </c>
      <c r="E17" s="43">
        <f t="shared" ref="E17:H17" si="1">SUM(E9:E16)</f>
        <v>0</v>
      </c>
      <c r="F17" s="43">
        <f t="shared" si="1"/>
        <v>-3755163677.7800002</v>
      </c>
      <c r="G17" s="43">
        <f t="shared" si="1"/>
        <v>7830201.8099999996</v>
      </c>
      <c r="H17" s="44">
        <f t="shared" si="1"/>
        <v>272932992862.75998</v>
      </c>
    </row>
    <row r="18" spans="1:8" s="30" customFormat="1" ht="45" customHeight="1" thickBot="1" x14ac:dyDescent="0.3">
      <c r="A18" s="26"/>
      <c r="B18" s="86" t="s">
        <v>21</v>
      </c>
      <c r="C18" s="87"/>
      <c r="D18" s="45">
        <f>D17+D8</f>
        <v>287919193338.72998</v>
      </c>
      <c r="E18" s="45">
        <f t="shared" ref="E18:H18" si="2">E17+E8</f>
        <v>0</v>
      </c>
      <c r="F18" s="45">
        <f t="shared" si="2"/>
        <v>-4524163677.7800007</v>
      </c>
      <c r="G18" s="45">
        <f t="shared" si="2"/>
        <v>7830201.8099999996</v>
      </c>
      <c r="H18" s="46">
        <f t="shared" si="2"/>
        <v>283402859862.76001</v>
      </c>
    </row>
    <row r="20" spans="1:8" ht="15.75" x14ac:dyDescent="0.25">
      <c r="B20" s="47" t="s">
        <v>22</v>
      </c>
    </row>
    <row r="21" spans="1:8" x14ac:dyDescent="0.25">
      <c r="B21" s="51" t="s">
        <v>23</v>
      </c>
      <c r="D21" s="52"/>
      <c r="E21" s="52"/>
      <c r="F21" s="52"/>
      <c r="G21" s="52"/>
      <c r="H21" s="52"/>
    </row>
    <row r="22" spans="1:8" x14ac:dyDescent="0.25">
      <c r="B22" s="53" t="s">
        <v>24</v>
      </c>
      <c r="D22" s="52"/>
      <c r="E22" s="52"/>
      <c r="F22" s="52"/>
      <c r="G22" s="52"/>
      <c r="H22" s="52"/>
    </row>
    <row r="23" spans="1:8" ht="28.5" customHeight="1" x14ac:dyDescent="0.25">
      <c r="B23" s="76" t="s">
        <v>31</v>
      </c>
      <c r="C23" s="76"/>
      <c r="D23" s="76"/>
      <c r="E23" s="76"/>
      <c r="F23" s="76"/>
      <c r="G23" s="76"/>
      <c r="H23" s="76"/>
    </row>
    <row r="24" spans="1:8" x14ac:dyDescent="0.25">
      <c r="B24" s="51" t="s">
        <v>35</v>
      </c>
      <c r="D24" s="52"/>
      <c r="E24" s="52"/>
      <c r="F24" s="52"/>
      <c r="G24" s="52"/>
      <c r="H24" s="52"/>
    </row>
    <row r="26" spans="1:8" x14ac:dyDescent="0.25">
      <c r="B26" s="54" t="s">
        <v>33</v>
      </c>
    </row>
    <row r="27" spans="1:8" ht="87" customHeight="1" x14ac:dyDescent="0.25">
      <c r="B27" s="77" t="s">
        <v>28</v>
      </c>
      <c r="C27" s="77"/>
      <c r="D27" s="77"/>
      <c r="E27" s="77"/>
      <c r="F27" s="77"/>
      <c r="G27" s="77"/>
      <c r="H27" s="77"/>
    </row>
  </sheetData>
  <mergeCells count="8">
    <mergeCell ref="B23:H23"/>
    <mergeCell ref="B27:H27"/>
    <mergeCell ref="B4:H4"/>
    <mergeCell ref="B6:B7"/>
    <mergeCell ref="B8:C8"/>
    <mergeCell ref="B9:B16"/>
    <mergeCell ref="B17:C17"/>
    <mergeCell ref="B18:C18"/>
  </mergeCells>
  <pageMargins left="0.7" right="0.7" top="0.75" bottom="0.75" header="0.3" footer="0.3"/>
  <pageSetup paperSize="4" scale="61" orientation="landscape" r:id="rId1"/>
  <headerFooter alignWithMargins="0"/>
  <ignoredErrors>
    <ignoredError sqref="G14 G8 D13:F13 H13"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7DA5C-738C-44F7-91FD-7B0EA141AEF2}">
  <dimension ref="A1:J33"/>
  <sheetViews>
    <sheetView zoomScaleNormal="100" workbookViewId="0">
      <selection activeCell="B4" sqref="B4:H4"/>
    </sheetView>
  </sheetViews>
  <sheetFormatPr defaultRowHeight="13.5" x14ac:dyDescent="0.25"/>
  <cols>
    <col min="1" max="1" width="2" style="60" customWidth="1"/>
    <col min="2" max="2" width="25.7109375" style="68" customWidth="1"/>
    <col min="3" max="3" width="25.7109375" style="64" customWidth="1"/>
    <col min="4" max="8" width="25.7109375" style="65" customWidth="1"/>
    <col min="9" max="9" width="9.140625" style="66"/>
    <col min="10" max="10" width="17.28515625" style="66" bestFit="1" customWidth="1"/>
    <col min="11" max="16384" width="9.140625" style="66"/>
  </cols>
  <sheetData>
    <row r="1" spans="1:10" s="59" customFormat="1" ht="6.95" customHeight="1" x14ac:dyDescent="0.25">
      <c r="A1" s="55"/>
      <c r="B1" s="56"/>
      <c r="C1" s="57"/>
      <c r="D1" s="58"/>
      <c r="E1" s="58"/>
      <c r="F1" s="58"/>
      <c r="G1" s="58"/>
      <c r="H1" s="58"/>
    </row>
    <row r="2" spans="1:10" s="59" customFormat="1" ht="21.4" customHeight="1" x14ac:dyDescent="0.25">
      <c r="A2" s="55"/>
      <c r="B2" s="60"/>
      <c r="C2" s="57"/>
      <c r="D2" s="58"/>
      <c r="E2" s="58"/>
      <c r="F2" s="58"/>
      <c r="G2" s="58"/>
      <c r="H2" s="58"/>
    </row>
    <row r="3" spans="1:10" s="59" customFormat="1" ht="18.2" customHeight="1" x14ac:dyDescent="0.25">
      <c r="A3" s="55"/>
      <c r="B3" s="61"/>
      <c r="C3" s="57"/>
      <c r="D3" s="58"/>
      <c r="E3" s="58"/>
      <c r="F3" s="58"/>
      <c r="G3" s="58"/>
      <c r="H3" s="58"/>
    </row>
    <row r="4" spans="1:10" s="59" customFormat="1" ht="20.85" customHeight="1" thickBot="1" x14ac:dyDescent="0.45">
      <c r="A4" s="55"/>
      <c r="B4" s="90" t="s">
        <v>36</v>
      </c>
      <c r="C4" s="90"/>
      <c r="D4" s="90"/>
      <c r="E4" s="90"/>
      <c r="F4" s="90"/>
      <c r="G4" s="90"/>
      <c r="H4" s="90"/>
    </row>
    <row r="5" spans="1:10" s="59" customFormat="1" ht="57.75" customHeight="1" x14ac:dyDescent="0.25">
      <c r="A5" s="55"/>
      <c r="B5" s="33" t="s">
        <v>0</v>
      </c>
      <c r="C5" s="34" t="s">
        <v>1</v>
      </c>
      <c r="D5" s="35" t="s">
        <v>14</v>
      </c>
      <c r="E5" s="35" t="s">
        <v>15</v>
      </c>
      <c r="F5" s="35" t="s">
        <v>16</v>
      </c>
      <c r="G5" s="35" t="s">
        <v>17</v>
      </c>
      <c r="H5" s="36" t="s">
        <v>18</v>
      </c>
    </row>
    <row r="6" spans="1:10" s="59" customFormat="1" ht="39.950000000000003" customHeight="1" x14ac:dyDescent="0.25">
      <c r="A6" s="55"/>
      <c r="B6" s="91" t="s">
        <v>19</v>
      </c>
      <c r="C6" s="37" t="s">
        <v>2</v>
      </c>
      <c r="D6" s="38">
        <v>3024867000</v>
      </c>
      <c r="E6" s="38">
        <v>750000000</v>
      </c>
      <c r="F6" s="38">
        <v>-917685000</v>
      </c>
      <c r="G6" s="38">
        <v>0</v>
      </c>
      <c r="H6" s="39">
        <v>2857182000</v>
      </c>
    </row>
    <row r="7" spans="1:10" s="59" customFormat="1" ht="39.950000000000003" customHeight="1" x14ac:dyDescent="0.25">
      <c r="A7" s="55"/>
      <c r="B7" s="92"/>
      <c r="C7" s="37" t="s">
        <v>3</v>
      </c>
      <c r="D7" s="38">
        <v>7445000000</v>
      </c>
      <c r="E7" s="38">
        <v>0</v>
      </c>
      <c r="F7" s="38">
        <v>-7445000000</v>
      </c>
      <c r="G7" s="38">
        <v>0</v>
      </c>
      <c r="H7" s="39">
        <v>0</v>
      </c>
    </row>
    <row r="8" spans="1:10" s="59" customFormat="1" ht="39.950000000000003" customHeight="1" x14ac:dyDescent="0.25">
      <c r="A8" s="55"/>
      <c r="B8" s="93" t="s">
        <v>4</v>
      </c>
      <c r="C8" s="94"/>
      <c r="D8" s="40">
        <v>10469867000</v>
      </c>
      <c r="E8" s="40">
        <v>750000000</v>
      </c>
      <c r="F8" s="40">
        <v>-8362685000</v>
      </c>
      <c r="G8" s="40">
        <v>0</v>
      </c>
      <c r="H8" s="41">
        <v>2857182000</v>
      </c>
    </row>
    <row r="9" spans="1:10" s="59" customFormat="1" ht="39.950000000000003" customHeight="1" x14ac:dyDescent="0.25">
      <c r="A9" s="55"/>
      <c r="B9" s="91" t="s">
        <v>20</v>
      </c>
      <c r="C9" s="37" t="s">
        <v>5</v>
      </c>
      <c r="D9" s="38">
        <v>103951059000</v>
      </c>
      <c r="E9" s="38">
        <v>0</v>
      </c>
      <c r="F9" s="38">
        <v>0</v>
      </c>
      <c r="G9" s="38">
        <v>0</v>
      </c>
      <c r="H9" s="39">
        <v>103951059000</v>
      </c>
    </row>
    <row r="10" spans="1:10" s="59" customFormat="1" ht="39.950000000000003" customHeight="1" x14ac:dyDescent="0.25">
      <c r="A10" s="55"/>
      <c r="B10" s="95"/>
      <c r="C10" s="37" t="s">
        <v>6</v>
      </c>
      <c r="D10" s="38">
        <v>45849790000</v>
      </c>
      <c r="E10" s="38">
        <v>0</v>
      </c>
      <c r="F10" s="38">
        <v>-500000000</v>
      </c>
      <c r="G10" s="38">
        <v>0</v>
      </c>
      <c r="H10" s="39">
        <v>45349790000</v>
      </c>
    </row>
    <row r="11" spans="1:10" s="59" customFormat="1" ht="39.950000000000003" customHeight="1" x14ac:dyDescent="0.25">
      <c r="A11" s="55"/>
      <c r="B11" s="95"/>
      <c r="C11" s="37" t="s">
        <v>7</v>
      </c>
      <c r="D11" s="38">
        <v>0</v>
      </c>
      <c r="E11" s="38">
        <v>0</v>
      </c>
      <c r="F11" s="38">
        <v>0</v>
      </c>
      <c r="G11" s="38">
        <v>0</v>
      </c>
      <c r="H11" s="39">
        <v>0</v>
      </c>
    </row>
    <row r="12" spans="1:10" s="59" customFormat="1" ht="39.950000000000003" customHeight="1" x14ac:dyDescent="0.25">
      <c r="A12" s="55"/>
      <c r="B12" s="95"/>
      <c r="C12" s="37" t="s">
        <v>8</v>
      </c>
      <c r="D12" s="38">
        <v>26505.85</v>
      </c>
      <c r="E12" s="38">
        <v>0</v>
      </c>
      <c r="F12" s="38">
        <v>-26505.85</v>
      </c>
      <c r="G12" s="38">
        <v>0</v>
      </c>
      <c r="H12" s="39">
        <v>0</v>
      </c>
    </row>
    <row r="13" spans="1:10" s="59" customFormat="1" ht="39.950000000000003" customHeight="1" x14ac:dyDescent="0.25">
      <c r="A13" s="55"/>
      <c r="B13" s="95"/>
      <c r="C13" s="37" t="s">
        <v>9</v>
      </c>
      <c r="D13" s="38">
        <v>14751541224.799999</v>
      </c>
      <c r="E13" s="38">
        <v>0</v>
      </c>
      <c r="F13" s="38">
        <v>-168820638.13</v>
      </c>
      <c r="G13" s="38">
        <v>0</v>
      </c>
      <c r="H13" s="39">
        <v>14582720586.67</v>
      </c>
    </row>
    <row r="14" spans="1:10" s="59" customFormat="1" ht="39.950000000000003" customHeight="1" x14ac:dyDescent="0.25">
      <c r="A14" s="55"/>
      <c r="B14" s="95"/>
      <c r="C14" s="37" t="s">
        <v>10</v>
      </c>
      <c r="D14" s="38">
        <v>484880939.36000001</v>
      </c>
      <c r="E14" s="38">
        <v>0</v>
      </c>
      <c r="F14" s="38">
        <v>0</v>
      </c>
      <c r="G14" s="38">
        <v>-5220134.66</v>
      </c>
      <c r="H14" s="39">
        <v>479660804.69999999</v>
      </c>
    </row>
    <row r="15" spans="1:10" s="59" customFormat="1" ht="39.950000000000003" customHeight="1" x14ac:dyDescent="0.25">
      <c r="A15" s="55"/>
      <c r="B15" s="95"/>
      <c r="C15" s="37" t="s">
        <v>11</v>
      </c>
      <c r="D15" s="38">
        <v>9536440192.75</v>
      </c>
      <c r="E15" s="38">
        <v>0</v>
      </c>
      <c r="F15" s="38">
        <v>-60000000</v>
      </c>
      <c r="G15" s="38">
        <v>0</v>
      </c>
      <c r="H15" s="39">
        <v>9476440192.75</v>
      </c>
    </row>
    <row r="16" spans="1:10" s="59" customFormat="1" ht="39.950000000000003" customHeight="1" x14ac:dyDescent="0.25">
      <c r="A16" s="55"/>
      <c r="B16" s="95"/>
      <c r="C16" s="37" t="s">
        <v>12</v>
      </c>
      <c r="D16" s="38">
        <v>98359255000</v>
      </c>
      <c r="E16" s="38">
        <v>0</v>
      </c>
      <c r="F16" s="38">
        <v>0</v>
      </c>
      <c r="G16" s="38">
        <v>0</v>
      </c>
      <c r="H16" s="39">
        <v>98359255000</v>
      </c>
      <c r="J16" s="62"/>
    </row>
    <row r="17" spans="1:8" s="59" customFormat="1" ht="45" customHeight="1" x14ac:dyDescent="0.25">
      <c r="A17" s="55"/>
      <c r="B17" s="96" t="s">
        <v>13</v>
      </c>
      <c r="C17" s="97"/>
      <c r="D17" s="43">
        <v>272932992862.75998</v>
      </c>
      <c r="E17" s="43">
        <v>0</v>
      </c>
      <c r="F17" s="43">
        <v>-728847143.98000002</v>
      </c>
      <c r="G17" s="43">
        <v>-5220134.66</v>
      </c>
      <c r="H17" s="44">
        <v>272198925584.12003</v>
      </c>
    </row>
    <row r="18" spans="1:8" s="59" customFormat="1" ht="45" customHeight="1" thickBot="1" x14ac:dyDescent="0.3">
      <c r="A18" s="55"/>
      <c r="B18" s="98" t="s">
        <v>21</v>
      </c>
      <c r="C18" s="99"/>
      <c r="D18" s="45">
        <v>283402859862.76001</v>
      </c>
      <c r="E18" s="45">
        <v>750000000</v>
      </c>
      <c r="F18" s="45">
        <v>-9091532143.9799995</v>
      </c>
      <c r="G18" s="45">
        <v>-5220134.66</v>
      </c>
      <c r="H18" s="46">
        <v>275056107584.12</v>
      </c>
    </row>
    <row r="20" spans="1:8" ht="15.75" x14ac:dyDescent="0.25">
      <c r="B20" s="63" t="s">
        <v>22</v>
      </c>
    </row>
    <row r="21" spans="1:8" x14ac:dyDescent="0.25">
      <c r="B21" s="51" t="s">
        <v>23</v>
      </c>
    </row>
    <row r="22" spans="1:8" x14ac:dyDescent="0.25">
      <c r="B22" s="67" t="s">
        <v>24</v>
      </c>
    </row>
    <row r="23" spans="1:8" x14ac:dyDescent="0.25">
      <c r="B23" s="89" t="s">
        <v>37</v>
      </c>
      <c r="C23" s="89"/>
      <c r="D23" s="89"/>
      <c r="E23" s="89"/>
      <c r="F23" s="89"/>
      <c r="G23" s="89"/>
      <c r="H23" s="89"/>
    </row>
    <row r="24" spans="1:8" x14ac:dyDescent="0.25">
      <c r="B24" s="89"/>
      <c r="C24" s="89"/>
      <c r="D24" s="89"/>
      <c r="E24" s="89"/>
      <c r="F24" s="89"/>
      <c r="G24" s="89"/>
      <c r="H24" s="89"/>
    </row>
    <row r="25" spans="1:8" x14ac:dyDescent="0.25">
      <c r="B25" s="51" t="s">
        <v>38</v>
      </c>
    </row>
    <row r="27" spans="1:8" ht="15.75" x14ac:dyDescent="0.25">
      <c r="B27" s="19" t="s">
        <v>27</v>
      </c>
      <c r="C27" s="20"/>
      <c r="D27" s="24"/>
      <c r="E27" s="24"/>
      <c r="F27" s="24"/>
      <c r="G27" s="24"/>
      <c r="H27" s="24"/>
    </row>
    <row r="28" spans="1:8" x14ac:dyDescent="0.25">
      <c r="B28" s="88" t="s">
        <v>28</v>
      </c>
      <c r="C28" s="88"/>
      <c r="D28" s="88"/>
      <c r="E28" s="88"/>
      <c r="F28" s="88"/>
      <c r="G28" s="88"/>
      <c r="H28" s="88"/>
    </row>
    <row r="29" spans="1:8" x14ac:dyDescent="0.25">
      <c r="B29" s="88"/>
      <c r="C29" s="88"/>
      <c r="D29" s="88"/>
      <c r="E29" s="88"/>
      <c r="F29" s="88"/>
      <c r="G29" s="88"/>
      <c r="H29" s="88"/>
    </row>
    <row r="30" spans="1:8" x14ac:dyDescent="0.25">
      <c r="B30" s="88"/>
      <c r="C30" s="88"/>
      <c r="D30" s="88"/>
      <c r="E30" s="88"/>
      <c r="F30" s="88"/>
      <c r="G30" s="88"/>
      <c r="H30" s="88"/>
    </row>
    <row r="31" spans="1:8" x14ac:dyDescent="0.25">
      <c r="B31" s="88"/>
      <c r="C31" s="88"/>
      <c r="D31" s="88"/>
      <c r="E31" s="88"/>
      <c r="F31" s="88"/>
      <c r="G31" s="88"/>
      <c r="H31" s="88"/>
    </row>
    <row r="32" spans="1:8" x14ac:dyDescent="0.25">
      <c r="B32" s="88"/>
      <c r="C32" s="88"/>
      <c r="D32" s="88"/>
      <c r="E32" s="88"/>
      <c r="F32" s="88"/>
      <c r="G32" s="88"/>
      <c r="H32" s="88"/>
    </row>
    <row r="33" spans="2:8" x14ac:dyDescent="0.25">
      <c r="B33" s="88"/>
      <c r="C33" s="88"/>
      <c r="D33" s="88"/>
      <c r="E33" s="88"/>
      <c r="F33" s="88"/>
      <c r="G33" s="88"/>
      <c r="H33" s="88"/>
    </row>
  </sheetData>
  <mergeCells count="8">
    <mergeCell ref="B28:H33"/>
    <mergeCell ref="B23:H24"/>
    <mergeCell ref="B4:H4"/>
    <mergeCell ref="B6:B7"/>
    <mergeCell ref="B8:C8"/>
    <mergeCell ref="B9:B16"/>
    <mergeCell ref="B17:C17"/>
    <mergeCell ref="B18:C18"/>
  </mergeCells>
  <pageMargins left="0.7" right="0.7" top="0.75" bottom="0.75" header="0.3" footer="0.3"/>
  <pageSetup paperSize="4" scale="5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4058-09FB-4B9F-B819-166440FE7705}">
  <dimension ref="A1:J33"/>
  <sheetViews>
    <sheetView zoomScaleNormal="100" workbookViewId="0">
      <selection activeCell="K7" sqref="K7"/>
    </sheetView>
  </sheetViews>
  <sheetFormatPr defaultRowHeight="13.5" x14ac:dyDescent="0.25"/>
  <cols>
    <col min="1" max="1" width="2" style="6" customWidth="1"/>
    <col min="2" max="2" width="25.7109375" style="23" customWidth="1"/>
    <col min="3" max="3" width="25.7109375" style="20" customWidth="1"/>
    <col min="4" max="8" width="25.7109375" style="21" customWidth="1"/>
    <col min="10" max="10" width="17.28515625" bestFit="1" customWidth="1"/>
  </cols>
  <sheetData>
    <row r="1" spans="1:10" s="5" customFormat="1" ht="6.95" customHeight="1" x14ac:dyDescent="0.25">
      <c r="A1" s="1"/>
      <c r="B1" s="2"/>
      <c r="C1" s="3"/>
      <c r="D1" s="4"/>
      <c r="E1" s="4"/>
      <c r="F1" s="4"/>
      <c r="G1" s="4"/>
      <c r="H1" s="4"/>
    </row>
    <row r="2" spans="1:10" s="5" customFormat="1" ht="21.4" customHeight="1" x14ac:dyDescent="0.25">
      <c r="A2" s="1"/>
      <c r="B2" s="6"/>
      <c r="C2" s="3"/>
      <c r="D2" s="4"/>
      <c r="E2" s="4"/>
      <c r="F2" s="4"/>
      <c r="G2" s="4"/>
      <c r="H2" s="4"/>
    </row>
    <row r="3" spans="1:10" s="5" customFormat="1" ht="18.2" customHeight="1" x14ac:dyDescent="0.25">
      <c r="A3" s="1"/>
      <c r="B3" s="7"/>
      <c r="C3" s="3"/>
      <c r="D3" s="4"/>
      <c r="E3" s="4"/>
      <c r="F3" s="4"/>
      <c r="G3" s="4"/>
      <c r="H3" s="4"/>
    </row>
    <row r="4" spans="1:10" s="5" customFormat="1" ht="20.85" customHeight="1" thickBot="1" x14ac:dyDescent="0.45">
      <c r="A4" s="1"/>
      <c r="B4" s="103" t="s">
        <v>54</v>
      </c>
      <c r="C4" s="103"/>
      <c r="D4" s="103"/>
      <c r="E4" s="103"/>
      <c r="F4" s="103"/>
      <c r="G4" s="103"/>
      <c r="H4" s="103"/>
    </row>
    <row r="5" spans="1:10" s="5" customFormat="1" ht="57.75" customHeight="1" x14ac:dyDescent="0.25">
      <c r="A5" s="1"/>
      <c r="B5" s="8" t="s">
        <v>0</v>
      </c>
      <c r="C5" s="9" t="s">
        <v>1</v>
      </c>
      <c r="D5" s="10" t="s">
        <v>14</v>
      </c>
      <c r="E5" s="10" t="s">
        <v>15</v>
      </c>
      <c r="F5" s="10" t="s">
        <v>16</v>
      </c>
      <c r="G5" s="10" t="s">
        <v>17</v>
      </c>
      <c r="H5" s="11" t="s">
        <v>18</v>
      </c>
    </row>
    <row r="6" spans="1:10" s="5" customFormat="1" ht="39.950000000000003" customHeight="1" x14ac:dyDescent="0.25">
      <c r="A6" s="1"/>
      <c r="B6" s="104" t="s">
        <v>19</v>
      </c>
      <c r="C6" s="12" t="s">
        <v>2</v>
      </c>
      <c r="D6" s="13">
        <v>2857182000</v>
      </c>
      <c r="E6" s="13">
        <v>270000000</v>
      </c>
      <c r="F6" s="13">
        <v>-54523000</v>
      </c>
      <c r="G6" s="13">
        <v>0</v>
      </c>
      <c r="H6" s="14">
        <v>3072659000</v>
      </c>
    </row>
    <row r="7" spans="1:10" s="5" customFormat="1" ht="39.950000000000003" customHeight="1" x14ac:dyDescent="0.25">
      <c r="A7" s="1"/>
      <c r="B7" s="105"/>
      <c r="C7" s="12" t="s">
        <v>3</v>
      </c>
      <c r="D7" s="13">
        <v>0</v>
      </c>
      <c r="E7" s="13">
        <v>0</v>
      </c>
      <c r="F7" s="13">
        <v>0</v>
      </c>
      <c r="G7" s="13">
        <v>0</v>
      </c>
      <c r="H7" s="14">
        <v>0</v>
      </c>
    </row>
    <row r="8" spans="1:10" s="5" customFormat="1" ht="39.950000000000003" customHeight="1" x14ac:dyDescent="0.25">
      <c r="A8" s="1"/>
      <c r="B8" s="106" t="s">
        <v>4</v>
      </c>
      <c r="C8" s="107"/>
      <c r="D8" s="15">
        <v>2857182000</v>
      </c>
      <c r="E8" s="15">
        <v>270000000</v>
      </c>
      <c r="F8" s="15">
        <v>-54523000</v>
      </c>
      <c r="G8" s="15">
        <v>0</v>
      </c>
      <c r="H8" s="15">
        <v>3072659000</v>
      </c>
    </row>
    <row r="9" spans="1:10" s="5" customFormat="1" ht="39.950000000000003" customHeight="1" x14ac:dyDescent="0.25">
      <c r="A9" s="1"/>
      <c r="B9" s="104" t="s">
        <v>20</v>
      </c>
      <c r="C9" s="12" t="s">
        <v>5</v>
      </c>
      <c r="D9" s="13">
        <v>103951059000</v>
      </c>
      <c r="E9" s="13">
        <v>0</v>
      </c>
      <c r="F9" s="13">
        <v>-1813000000</v>
      </c>
      <c r="G9" s="13">
        <v>0</v>
      </c>
      <c r="H9" s="14">
        <v>102138059000</v>
      </c>
    </row>
    <row r="10" spans="1:10" s="5" customFormat="1" ht="39.950000000000003" customHeight="1" x14ac:dyDescent="0.25">
      <c r="A10" s="1"/>
      <c r="B10" s="108"/>
      <c r="C10" s="12" t="s">
        <v>6</v>
      </c>
      <c r="D10" s="13">
        <v>45349790000</v>
      </c>
      <c r="E10" s="13">
        <v>0</v>
      </c>
      <c r="F10" s="13">
        <v>-85000000</v>
      </c>
      <c r="G10" s="13">
        <v>0</v>
      </c>
      <c r="H10" s="14">
        <v>45264790000</v>
      </c>
    </row>
    <row r="11" spans="1:10" s="5" customFormat="1" ht="39.950000000000003" customHeight="1" x14ac:dyDescent="0.25">
      <c r="A11" s="1"/>
      <c r="B11" s="108"/>
      <c r="C11" s="12" t="s">
        <v>7</v>
      </c>
      <c r="D11" s="13">
        <v>0</v>
      </c>
      <c r="E11" s="13">
        <v>0</v>
      </c>
      <c r="F11" s="13">
        <v>0</v>
      </c>
      <c r="G11" s="13">
        <v>0</v>
      </c>
      <c r="H11" s="14">
        <v>0</v>
      </c>
    </row>
    <row r="12" spans="1:10" s="5" customFormat="1" ht="39.950000000000003" customHeight="1" x14ac:dyDescent="0.25">
      <c r="A12" s="1"/>
      <c r="B12" s="108"/>
      <c r="C12" s="12" t="s">
        <v>8</v>
      </c>
      <c r="D12" s="13">
        <v>0</v>
      </c>
      <c r="E12" s="13">
        <v>0</v>
      </c>
      <c r="F12" s="13">
        <v>0</v>
      </c>
      <c r="G12" s="13">
        <v>0</v>
      </c>
      <c r="H12" s="14">
        <v>0</v>
      </c>
    </row>
    <row r="13" spans="1:10" s="5" customFormat="1" ht="39.950000000000003" customHeight="1" x14ac:dyDescent="0.25">
      <c r="A13" s="1"/>
      <c r="B13" s="108"/>
      <c r="C13" s="12" t="s">
        <v>9</v>
      </c>
      <c r="D13" s="13">
        <v>14582720586.67</v>
      </c>
      <c r="E13" s="13">
        <v>0</v>
      </c>
      <c r="F13" s="13">
        <v>-172925341.24000001</v>
      </c>
      <c r="G13" s="13">
        <v>0</v>
      </c>
      <c r="H13" s="14">
        <v>14409795245.43</v>
      </c>
    </row>
    <row r="14" spans="1:10" s="5" customFormat="1" ht="39.950000000000003" customHeight="1" x14ac:dyDescent="0.25">
      <c r="A14" s="1"/>
      <c r="B14" s="108"/>
      <c r="C14" s="12" t="s">
        <v>10</v>
      </c>
      <c r="D14" s="13">
        <v>479660804.69999999</v>
      </c>
      <c r="E14" s="13">
        <v>0</v>
      </c>
      <c r="F14" s="13">
        <v>0</v>
      </c>
      <c r="G14" s="13">
        <v>1357235.45</v>
      </c>
      <c r="H14" s="14">
        <v>481018040.14999998</v>
      </c>
    </row>
    <row r="15" spans="1:10" s="5" customFormat="1" ht="39.950000000000003" customHeight="1" x14ac:dyDescent="0.25">
      <c r="A15" s="1"/>
      <c r="B15" s="108"/>
      <c r="C15" s="12" t="s">
        <v>11</v>
      </c>
      <c r="D15" s="13">
        <v>9476440192.75</v>
      </c>
      <c r="E15" s="13">
        <v>0</v>
      </c>
      <c r="F15" s="13">
        <v>-523016043</v>
      </c>
      <c r="G15" s="13">
        <v>0</v>
      </c>
      <c r="H15" s="14">
        <v>8953424149.75</v>
      </c>
    </row>
    <row r="16" spans="1:10" s="5" customFormat="1" ht="39.950000000000003" customHeight="1" x14ac:dyDescent="0.25">
      <c r="A16" s="1"/>
      <c r="B16" s="108"/>
      <c r="C16" s="12" t="s">
        <v>12</v>
      </c>
      <c r="D16" s="13">
        <v>98359255000</v>
      </c>
      <c r="E16" s="13">
        <v>0</v>
      </c>
      <c r="F16" s="13">
        <v>-4985000000</v>
      </c>
      <c r="G16" s="13">
        <v>0</v>
      </c>
      <c r="H16" s="14">
        <v>93374255000</v>
      </c>
      <c r="J16" s="16"/>
    </row>
    <row r="17" spans="1:8" s="5" customFormat="1" ht="45" customHeight="1" x14ac:dyDescent="0.25">
      <c r="A17" s="1"/>
      <c r="B17" s="109" t="s">
        <v>13</v>
      </c>
      <c r="C17" s="110"/>
      <c r="D17" s="17">
        <v>272198925584.12003</v>
      </c>
      <c r="E17" s="17">
        <v>0</v>
      </c>
      <c r="F17" s="17">
        <v>-7578941384.2399998</v>
      </c>
      <c r="G17" s="17">
        <v>1357235.45</v>
      </c>
      <c r="H17" s="17">
        <v>264621341435.32999</v>
      </c>
    </row>
    <row r="18" spans="1:8" s="5" customFormat="1" ht="45" customHeight="1" thickBot="1" x14ac:dyDescent="0.3">
      <c r="A18" s="1"/>
      <c r="B18" s="101" t="s">
        <v>21</v>
      </c>
      <c r="C18" s="102"/>
      <c r="D18" s="18">
        <v>275056107584.12</v>
      </c>
      <c r="E18" s="18">
        <v>270000000</v>
      </c>
      <c r="F18" s="18">
        <v>-7633464384.2399998</v>
      </c>
      <c r="G18" s="18">
        <v>1357235.45</v>
      </c>
      <c r="H18" s="18">
        <v>267694000435.32999</v>
      </c>
    </row>
    <row r="20" spans="1:8" ht="15.75" x14ac:dyDescent="0.25">
      <c r="B20" s="19" t="s">
        <v>22</v>
      </c>
      <c r="D20" s="24"/>
      <c r="E20" s="24"/>
      <c r="F20" s="24"/>
      <c r="G20" s="24"/>
      <c r="H20" s="24"/>
    </row>
    <row r="21" spans="1:8" x14ac:dyDescent="0.25">
      <c r="B21" s="22" t="s">
        <v>23</v>
      </c>
      <c r="D21" s="24"/>
      <c r="E21" s="24"/>
      <c r="F21" s="24"/>
      <c r="G21" s="24"/>
      <c r="H21" s="24"/>
    </row>
    <row r="22" spans="1:8" x14ac:dyDescent="0.25">
      <c r="B22" s="25" t="s">
        <v>24</v>
      </c>
      <c r="D22" s="24"/>
      <c r="E22" s="24"/>
      <c r="F22" s="24"/>
      <c r="G22" s="24"/>
      <c r="H22" s="24"/>
    </row>
    <row r="23" spans="1:8" x14ac:dyDescent="0.25">
      <c r="B23" s="100" t="s">
        <v>26</v>
      </c>
      <c r="C23" s="88"/>
      <c r="D23" s="88"/>
      <c r="E23" s="88"/>
      <c r="F23" s="88"/>
      <c r="G23" s="88"/>
      <c r="H23" s="88"/>
    </row>
    <row r="24" spans="1:8" x14ac:dyDescent="0.25">
      <c r="B24" s="88"/>
      <c r="C24" s="88"/>
      <c r="D24" s="88"/>
      <c r="E24" s="88"/>
      <c r="F24" s="88"/>
      <c r="G24" s="88"/>
      <c r="H24" s="88"/>
    </row>
    <row r="25" spans="1:8" x14ac:dyDescent="0.25">
      <c r="B25" s="22" t="s">
        <v>25</v>
      </c>
      <c r="D25" s="24"/>
      <c r="E25" s="24"/>
      <c r="F25" s="24"/>
      <c r="G25" s="24"/>
      <c r="H25" s="24"/>
    </row>
    <row r="26" spans="1:8" x14ac:dyDescent="0.25">
      <c r="D26" s="24"/>
      <c r="E26" s="24"/>
      <c r="F26" s="24"/>
      <c r="G26" s="24"/>
      <c r="H26" s="24"/>
    </row>
    <row r="27" spans="1:8" ht="15.75" x14ac:dyDescent="0.25">
      <c r="B27" s="19" t="s">
        <v>27</v>
      </c>
      <c r="D27" s="24"/>
      <c r="E27" s="24"/>
      <c r="F27" s="24"/>
      <c r="G27" s="24"/>
      <c r="H27" s="24"/>
    </row>
    <row r="28" spans="1:8" x14ac:dyDescent="0.25">
      <c r="B28" s="88" t="s">
        <v>28</v>
      </c>
      <c r="C28" s="88"/>
      <c r="D28" s="88"/>
      <c r="E28" s="88"/>
      <c r="F28" s="88"/>
      <c r="G28" s="88"/>
      <c r="H28" s="88"/>
    </row>
    <row r="29" spans="1:8" x14ac:dyDescent="0.25">
      <c r="B29" s="88"/>
      <c r="C29" s="88"/>
      <c r="D29" s="88"/>
      <c r="E29" s="88"/>
      <c r="F29" s="88"/>
      <c r="G29" s="88"/>
      <c r="H29" s="88"/>
    </row>
    <row r="30" spans="1:8" x14ac:dyDescent="0.25">
      <c r="B30" s="88"/>
      <c r="C30" s="88"/>
      <c r="D30" s="88"/>
      <c r="E30" s="88"/>
      <c r="F30" s="88"/>
      <c r="G30" s="88"/>
      <c r="H30" s="88"/>
    </row>
    <row r="31" spans="1:8" x14ac:dyDescent="0.25">
      <c r="B31" s="88"/>
      <c r="C31" s="88"/>
      <c r="D31" s="88"/>
      <c r="E31" s="88"/>
      <c r="F31" s="88"/>
      <c r="G31" s="88"/>
      <c r="H31" s="88"/>
    </row>
    <row r="32" spans="1:8" x14ac:dyDescent="0.25">
      <c r="B32" s="88"/>
      <c r="C32" s="88"/>
      <c r="D32" s="88"/>
      <c r="E32" s="88"/>
      <c r="F32" s="88"/>
      <c r="G32" s="88"/>
      <c r="H32" s="88"/>
    </row>
    <row r="33" spans="2:8" x14ac:dyDescent="0.25">
      <c r="B33" s="88"/>
      <c r="C33" s="88"/>
      <c r="D33" s="88"/>
      <c r="E33" s="88"/>
      <c r="F33" s="88"/>
      <c r="G33" s="88"/>
      <c r="H33" s="88"/>
    </row>
  </sheetData>
  <mergeCells count="8">
    <mergeCell ref="B23:H24"/>
    <mergeCell ref="B28:H33"/>
    <mergeCell ref="B18:C18"/>
    <mergeCell ref="B4:H4"/>
    <mergeCell ref="B6:B7"/>
    <mergeCell ref="B8:C8"/>
    <mergeCell ref="B9:B16"/>
    <mergeCell ref="B17:C17"/>
  </mergeCells>
  <pageMargins left="0.7" right="0.7" top="0.75" bottom="0.75" header="0.3" footer="0.3"/>
  <pageSetup paperSize="4" scale="5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39F75-530E-428A-A71F-A3361BA6ADD2}">
  <dimension ref="A1:J33"/>
  <sheetViews>
    <sheetView zoomScaleNormal="100" workbookViewId="0">
      <selection activeCell="K9" sqref="K9"/>
    </sheetView>
  </sheetViews>
  <sheetFormatPr defaultRowHeight="13.5" x14ac:dyDescent="0.25"/>
  <cols>
    <col min="1" max="1" width="2" style="6" customWidth="1"/>
    <col min="2" max="2" width="25.7109375" style="23" customWidth="1"/>
    <col min="3" max="3" width="25.7109375" style="20" customWidth="1"/>
    <col min="4" max="8" width="25.7109375" style="21" customWidth="1"/>
    <col min="10" max="10" width="17.28515625" bestFit="1" customWidth="1"/>
  </cols>
  <sheetData>
    <row r="1" spans="1:10" s="5" customFormat="1" ht="6.95" customHeight="1" x14ac:dyDescent="0.25">
      <c r="A1" s="1"/>
      <c r="B1" s="2"/>
      <c r="C1" s="3"/>
      <c r="D1" s="4"/>
      <c r="E1" s="4"/>
      <c r="F1" s="4"/>
      <c r="G1" s="4"/>
      <c r="H1" s="4"/>
    </row>
    <row r="2" spans="1:10" s="5" customFormat="1" ht="21.4" customHeight="1" x14ac:dyDescent="0.25">
      <c r="A2" s="1"/>
      <c r="B2" s="6"/>
      <c r="C2" s="3"/>
      <c r="D2" s="4"/>
      <c r="E2" s="4"/>
      <c r="F2" s="4"/>
      <c r="G2" s="4"/>
      <c r="H2" s="4"/>
    </row>
    <row r="3" spans="1:10" s="5" customFormat="1" ht="18.2" customHeight="1" x14ac:dyDescent="0.25">
      <c r="A3" s="1"/>
      <c r="B3" s="7"/>
      <c r="C3" s="3"/>
      <c r="D3" s="4"/>
      <c r="E3" s="4"/>
      <c r="F3" s="4"/>
      <c r="G3" s="4"/>
      <c r="H3" s="4"/>
    </row>
    <row r="4" spans="1:10" s="5" customFormat="1" ht="20.85" customHeight="1" thickBot="1" x14ac:dyDescent="0.45">
      <c r="A4" s="1"/>
      <c r="B4" s="103" t="s">
        <v>53</v>
      </c>
      <c r="C4" s="103"/>
      <c r="D4" s="103"/>
      <c r="E4" s="103"/>
      <c r="F4" s="103"/>
      <c r="G4" s="103"/>
      <c r="H4" s="103"/>
    </row>
    <row r="5" spans="1:10" s="5" customFormat="1" ht="57.75" customHeight="1" x14ac:dyDescent="0.25">
      <c r="A5" s="1"/>
      <c r="B5" s="8" t="s">
        <v>0</v>
      </c>
      <c r="C5" s="9" t="s">
        <v>1</v>
      </c>
      <c r="D5" s="10" t="s">
        <v>14</v>
      </c>
      <c r="E5" s="10" t="s">
        <v>15</v>
      </c>
      <c r="F5" s="10" t="s">
        <v>16</v>
      </c>
      <c r="G5" s="10" t="s">
        <v>17</v>
      </c>
      <c r="H5" s="11" t="s">
        <v>18</v>
      </c>
    </row>
    <row r="6" spans="1:10" s="5" customFormat="1" ht="39.950000000000003" customHeight="1" x14ac:dyDescent="0.25">
      <c r="A6" s="1"/>
      <c r="B6" s="104" t="s">
        <v>19</v>
      </c>
      <c r="C6" s="12" t="s">
        <v>2</v>
      </c>
      <c r="D6" s="13">
        <f>-VLOOKUP(C6,[2]Summary!$D$5:$S$23,2,0)</f>
        <v>3072659000</v>
      </c>
      <c r="E6" s="13">
        <f>-VLOOKUP(C6,[2]Summary!$D$5:$S$23,5,0)</f>
        <v>625000000</v>
      </c>
      <c r="F6" s="13">
        <f>-VLOOKUP(C6,[2]Summary!$D$5:$S$23,10,0)</f>
        <v>-310379000</v>
      </c>
      <c r="G6" s="13">
        <v>0</v>
      </c>
      <c r="H6" s="14">
        <f>-VLOOKUP(C6,[2]Summary!$D$5:$S$23,14,0)</f>
        <v>3387280000</v>
      </c>
    </row>
    <row r="7" spans="1:10" s="5" customFormat="1" ht="39.950000000000003" customHeight="1" x14ac:dyDescent="0.25">
      <c r="A7" s="1"/>
      <c r="B7" s="105"/>
      <c r="C7" s="12" t="s">
        <v>3</v>
      </c>
      <c r="D7" s="13">
        <f>-VLOOKUP(C7,[2]Summary!$D$5:$S$23,2,0)</f>
        <v>0</v>
      </c>
      <c r="E7" s="13">
        <f>-VLOOKUP(C7,[2]Summary!$D$5:$S$23,5,0)</f>
        <v>0</v>
      </c>
      <c r="F7" s="13">
        <f>-VLOOKUP(C7,[2]Summary!$D$5:$S$23,10,0)</f>
        <v>0</v>
      </c>
      <c r="G7" s="13">
        <v>0</v>
      </c>
      <c r="H7" s="14">
        <f>-VLOOKUP(C7,[2]Summary!$D$5:$S$23,14,0)</f>
        <v>0</v>
      </c>
    </row>
    <row r="8" spans="1:10" s="5" customFormat="1" ht="39.950000000000003" customHeight="1" x14ac:dyDescent="0.25">
      <c r="A8" s="1"/>
      <c r="B8" s="106" t="s">
        <v>4</v>
      </c>
      <c r="C8" s="107"/>
      <c r="D8" s="15">
        <f>SUM(D6:D7)</f>
        <v>3072659000</v>
      </c>
      <c r="E8" s="15">
        <f t="shared" ref="E8:H8" si="0">SUM(E6:E7)</f>
        <v>625000000</v>
      </c>
      <c r="F8" s="15">
        <f t="shared" si="0"/>
        <v>-310379000</v>
      </c>
      <c r="G8" s="15">
        <f t="shared" si="0"/>
        <v>0</v>
      </c>
      <c r="H8" s="15">
        <f t="shared" si="0"/>
        <v>3387280000</v>
      </c>
    </row>
    <row r="9" spans="1:10" s="5" customFormat="1" ht="39.950000000000003" customHeight="1" x14ac:dyDescent="0.25">
      <c r="A9" s="1"/>
      <c r="B9" s="104" t="s">
        <v>20</v>
      </c>
      <c r="C9" s="12" t="s">
        <v>5</v>
      </c>
      <c r="D9" s="13">
        <f>-VLOOKUP(C9,[2]Summary!$D$5:$S$23,2,0)</f>
        <v>102138059000</v>
      </c>
      <c r="E9" s="13">
        <f>-VLOOKUP(C9,[2]Summary!$D$5:$S$23,5,0)</f>
        <v>0</v>
      </c>
      <c r="F9" s="13">
        <f>-VLOOKUP(C9,[2]Summary!$D$5:$S$23,10,0)</f>
        <v>-2500000000</v>
      </c>
      <c r="G9" s="13">
        <v>0</v>
      </c>
      <c r="H9" s="14">
        <f>-VLOOKUP(C9,[2]Summary!$D$5:$S$23,14,0)</f>
        <v>99638059000</v>
      </c>
    </row>
    <row r="10" spans="1:10" s="5" customFormat="1" ht="39.950000000000003" customHeight="1" x14ac:dyDescent="0.25">
      <c r="A10" s="1"/>
      <c r="B10" s="108"/>
      <c r="C10" s="12" t="s">
        <v>6</v>
      </c>
      <c r="D10" s="13">
        <f>-VLOOKUP(C10,[2]Summary!$D$5:$S$23,2,0)</f>
        <v>45264790000</v>
      </c>
      <c r="E10" s="13">
        <f>-VLOOKUP(C10,[2]Summary!$D$5:$S$23,5,0)</f>
        <v>0</v>
      </c>
      <c r="F10" s="13">
        <f>-VLOOKUP(C10,[2]Summary!$D$5:$S$23,10,0)</f>
        <v>-630000000</v>
      </c>
      <c r="G10" s="13">
        <v>0</v>
      </c>
      <c r="H10" s="14">
        <f>-VLOOKUP(C10,[2]Summary!$D$5:$S$23,14,0)</f>
        <v>44634790000</v>
      </c>
    </row>
    <row r="11" spans="1:10" s="5" customFormat="1" ht="39.950000000000003" customHeight="1" x14ac:dyDescent="0.25">
      <c r="A11" s="1"/>
      <c r="B11" s="108"/>
      <c r="C11" s="12" t="s">
        <v>7</v>
      </c>
      <c r="D11" s="13">
        <f>-VLOOKUP(C11,[2]Summary!$D$5:$S$23,2,0)</f>
        <v>0</v>
      </c>
      <c r="E11" s="13">
        <f>-VLOOKUP(C11,[2]Summary!$D$5:$S$23,5,0)</f>
        <v>0</v>
      </c>
      <c r="F11" s="13">
        <f>-VLOOKUP(C11,[2]Summary!$D$5:$S$23,10,0)</f>
        <v>0</v>
      </c>
      <c r="G11" s="13">
        <v>0</v>
      </c>
      <c r="H11" s="14">
        <f>-VLOOKUP(C11,[2]Summary!$D$5:$S$23,14,0)</f>
        <v>0</v>
      </c>
    </row>
    <row r="12" spans="1:10" s="5" customFormat="1" ht="39.950000000000003" customHeight="1" x14ac:dyDescent="0.25">
      <c r="A12" s="1"/>
      <c r="B12" s="108"/>
      <c r="C12" s="12" t="s">
        <v>8</v>
      </c>
      <c r="D12" s="13">
        <v>0</v>
      </c>
      <c r="E12" s="13">
        <v>0</v>
      </c>
      <c r="F12" s="13">
        <v>0</v>
      </c>
      <c r="G12" s="13">
        <v>0</v>
      </c>
      <c r="H12" s="14">
        <v>0</v>
      </c>
    </row>
    <row r="13" spans="1:10" s="5" customFormat="1" ht="39.950000000000003" customHeight="1" x14ac:dyDescent="0.25">
      <c r="A13" s="1"/>
      <c r="B13" s="108"/>
      <c r="C13" s="12" t="s">
        <v>9</v>
      </c>
      <c r="D13" s="13">
        <f>-VLOOKUP(C13,[2]Summary!$D$5:$S$23,2,0)-[2]Summary!E18</f>
        <v>14409795245.43</v>
      </c>
      <c r="E13" s="13">
        <f>-VLOOKUP(C13,[2]Summary!$D$5:$S$23,5,0)</f>
        <v>0</v>
      </c>
      <c r="F13" s="13">
        <f>-VLOOKUP(C13,[2]Summary!$D$5:$S$23,10,0)-[2]Summary!M18</f>
        <v>-182370970.06</v>
      </c>
      <c r="G13" s="13">
        <v>0</v>
      </c>
      <c r="H13" s="14">
        <f>-VLOOKUP(C13,[2]Summary!$D$5:$S$23,14,0)-[2]Summary!Q18</f>
        <v>14227424275.369999</v>
      </c>
    </row>
    <row r="14" spans="1:10" s="5" customFormat="1" ht="39.950000000000003" customHeight="1" x14ac:dyDescent="0.25">
      <c r="A14" s="1"/>
      <c r="B14" s="108"/>
      <c r="C14" s="12" t="s">
        <v>10</v>
      </c>
      <c r="D14" s="13">
        <f>-VLOOKUP(C14,[2]Summary!$D$5:$S$23,2,0)</f>
        <v>481018040.14999998</v>
      </c>
      <c r="E14" s="13">
        <f>-VLOOKUP(C14,[2]Summary!$D$5:$S$23,5,0)</f>
        <v>0</v>
      </c>
      <c r="F14" s="13">
        <f>-VLOOKUP(C14,[2]Summary!$D$5:$S$23,10,0)</f>
        <v>0</v>
      </c>
      <c r="G14" s="13">
        <f>-VLOOKUP(C14,[2]Summary!$D$5:$S$23,11,0)</f>
        <v>12737129.4</v>
      </c>
      <c r="H14" s="14">
        <f>-VLOOKUP(C14,[2]Summary!$D$5:$S$23,14,0)</f>
        <v>493755169.55000001</v>
      </c>
    </row>
    <row r="15" spans="1:10" s="5" customFormat="1" ht="39.950000000000003" customHeight="1" x14ac:dyDescent="0.25">
      <c r="A15" s="1"/>
      <c r="B15" s="108"/>
      <c r="C15" s="12" t="s">
        <v>11</v>
      </c>
      <c r="D15" s="13">
        <f>-VLOOKUP(C15,[2]Summary!$D$5:$S$23,2,0)</f>
        <v>8953424149.75</v>
      </c>
      <c r="E15" s="13">
        <f>-VLOOKUP(C15,[2]Summary!$D$5:$S$23,5,0)</f>
        <v>0</v>
      </c>
      <c r="F15" s="13">
        <f>-VLOOKUP(C15,[2]Summary!$D$5:$S$23,10,0)</f>
        <v>-304825000</v>
      </c>
      <c r="G15" s="13">
        <v>0</v>
      </c>
      <c r="H15" s="14">
        <f>-VLOOKUP(C15,[2]Summary!$D$5:$S$23,14,0)</f>
        <v>8648599149.75</v>
      </c>
    </row>
    <row r="16" spans="1:10" s="5" customFormat="1" ht="39.950000000000003" customHeight="1" x14ac:dyDescent="0.25">
      <c r="A16" s="1"/>
      <c r="B16" s="108"/>
      <c r="C16" s="12" t="s">
        <v>12</v>
      </c>
      <c r="D16" s="13">
        <f>-VLOOKUP(C16,[2]Summary!$D$5:$S$22,2,0)-[2]Summary!E22</f>
        <v>93374255000</v>
      </c>
      <c r="E16" s="13">
        <f>-VLOOKUP(C16,[2]Summary!$D$5:$S$23,5,0)</f>
        <v>0</v>
      </c>
      <c r="F16" s="13">
        <f>-VLOOKUP(C16,[2]Summary!$D$5:$S$23,10,0)-[2]Summary!K22</f>
        <v>-1000000000</v>
      </c>
      <c r="G16" s="13">
        <v>0</v>
      </c>
      <c r="H16" s="14">
        <f>-VLOOKUP(C16,[2]Summary!$D$5:$S$23,14,0)-[2]Summary!Q22</f>
        <v>92374255000</v>
      </c>
      <c r="J16" s="16"/>
    </row>
    <row r="17" spans="1:8" s="5" customFormat="1" ht="45" customHeight="1" x14ac:dyDescent="0.25">
      <c r="A17" s="1"/>
      <c r="B17" s="109" t="s">
        <v>13</v>
      </c>
      <c r="C17" s="110"/>
      <c r="D17" s="17">
        <f>SUM(D9:D16)</f>
        <v>264621341435.32999</v>
      </c>
      <c r="E17" s="17">
        <f t="shared" ref="E17:H17" si="1">SUM(E9:E16)</f>
        <v>0</v>
      </c>
      <c r="F17" s="17">
        <f t="shared" si="1"/>
        <v>-4617195970.0599995</v>
      </c>
      <c r="G17" s="17">
        <f t="shared" si="1"/>
        <v>12737129.4</v>
      </c>
      <c r="H17" s="17">
        <f t="shared" si="1"/>
        <v>260016882594.66998</v>
      </c>
    </row>
    <row r="18" spans="1:8" s="5" customFormat="1" ht="45" customHeight="1" thickBot="1" x14ac:dyDescent="0.3">
      <c r="A18" s="1"/>
      <c r="B18" s="101" t="s">
        <v>21</v>
      </c>
      <c r="C18" s="102"/>
      <c r="D18" s="18">
        <f>D17+D8</f>
        <v>267694000435.32999</v>
      </c>
      <c r="E18" s="18">
        <f t="shared" ref="E18:H18" si="2">E17+E8</f>
        <v>625000000</v>
      </c>
      <c r="F18" s="18">
        <f t="shared" si="2"/>
        <v>-4927574970.0599995</v>
      </c>
      <c r="G18" s="18">
        <f t="shared" si="2"/>
        <v>12737129.4</v>
      </c>
      <c r="H18" s="18">
        <f t="shared" si="2"/>
        <v>263404162594.66998</v>
      </c>
    </row>
    <row r="20" spans="1:8" ht="15.75" x14ac:dyDescent="0.25">
      <c r="B20" s="19" t="s">
        <v>22</v>
      </c>
    </row>
    <row r="21" spans="1:8" x14ac:dyDescent="0.25">
      <c r="B21" s="22" t="s">
        <v>23</v>
      </c>
    </row>
    <row r="22" spans="1:8" ht="15" x14ac:dyDescent="0.25">
      <c r="B22" s="69" t="s">
        <v>24</v>
      </c>
    </row>
    <row r="23" spans="1:8" x14ac:dyDescent="0.25">
      <c r="B23" s="111" t="s">
        <v>37</v>
      </c>
      <c r="C23" s="112"/>
      <c r="D23" s="112"/>
      <c r="E23" s="112"/>
      <c r="F23" s="112"/>
      <c r="G23" s="112"/>
      <c r="H23" s="112"/>
    </row>
    <row r="24" spans="1:8" x14ac:dyDescent="0.25">
      <c r="B24" s="112"/>
      <c r="C24" s="112"/>
      <c r="D24" s="112"/>
      <c r="E24" s="112"/>
      <c r="F24" s="112"/>
      <c r="G24" s="112"/>
      <c r="H24" s="112"/>
    </row>
    <row r="25" spans="1:8" x14ac:dyDescent="0.25">
      <c r="B25" s="22" t="s">
        <v>39</v>
      </c>
    </row>
    <row r="27" spans="1:8" ht="15.75" x14ac:dyDescent="0.25">
      <c r="B27" s="19" t="s">
        <v>27</v>
      </c>
      <c r="D27" s="24"/>
      <c r="E27" s="24"/>
      <c r="F27" s="24"/>
      <c r="G27" s="24"/>
      <c r="H27" s="24"/>
    </row>
    <row r="28" spans="1:8" x14ac:dyDescent="0.25">
      <c r="B28" s="88" t="s">
        <v>28</v>
      </c>
      <c r="C28" s="88"/>
      <c r="D28" s="88"/>
      <c r="E28" s="88"/>
      <c r="F28" s="88"/>
      <c r="G28" s="88"/>
      <c r="H28" s="88"/>
    </row>
    <row r="29" spans="1:8" x14ac:dyDescent="0.25">
      <c r="B29" s="88"/>
      <c r="C29" s="88"/>
      <c r="D29" s="88"/>
      <c r="E29" s="88"/>
      <c r="F29" s="88"/>
      <c r="G29" s="88"/>
      <c r="H29" s="88"/>
    </row>
    <row r="30" spans="1:8" x14ac:dyDescent="0.25">
      <c r="B30" s="88"/>
      <c r="C30" s="88"/>
      <c r="D30" s="88"/>
      <c r="E30" s="88"/>
      <c r="F30" s="88"/>
      <c r="G30" s="88"/>
      <c r="H30" s="88"/>
    </row>
    <row r="31" spans="1:8" x14ac:dyDescent="0.25">
      <c r="B31" s="88"/>
      <c r="C31" s="88"/>
      <c r="D31" s="88"/>
      <c r="E31" s="88"/>
      <c r="F31" s="88"/>
      <c r="G31" s="88"/>
      <c r="H31" s="88"/>
    </row>
    <row r="32" spans="1:8" x14ac:dyDescent="0.25">
      <c r="B32" s="88"/>
      <c r="C32" s="88"/>
      <c r="D32" s="88"/>
      <c r="E32" s="88"/>
      <c r="F32" s="88"/>
      <c r="G32" s="88"/>
      <c r="H32" s="88"/>
    </row>
    <row r="33" spans="2:8" x14ac:dyDescent="0.25">
      <c r="B33" s="88"/>
      <c r="C33" s="88"/>
      <c r="D33" s="88"/>
      <c r="E33" s="88"/>
      <c r="F33" s="88"/>
      <c r="G33" s="88"/>
      <c r="H33" s="88"/>
    </row>
  </sheetData>
  <mergeCells count="8">
    <mergeCell ref="B28:H33"/>
    <mergeCell ref="B23:H24"/>
    <mergeCell ref="B4:H4"/>
    <mergeCell ref="B6:B7"/>
    <mergeCell ref="B8:C8"/>
    <mergeCell ref="B9:B16"/>
    <mergeCell ref="B17:C17"/>
    <mergeCell ref="B18:C18"/>
  </mergeCells>
  <pageMargins left="0.7" right="0.7" top="0.75" bottom="0.75" header="0.3" footer="0.3"/>
  <pageSetup paperSize="4" scale="60" orientation="landscape" r:id="rId1"/>
  <headerFooter alignWithMargins="0"/>
  <ignoredErrors>
    <ignoredError sqref="H8 D8:F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EE7FF-0EEC-456C-A777-884DF66A815F}">
  <dimension ref="A1:J33"/>
  <sheetViews>
    <sheetView zoomScaleNormal="100" workbookViewId="0">
      <selection activeCell="B4" sqref="B4:H4"/>
    </sheetView>
  </sheetViews>
  <sheetFormatPr defaultRowHeight="13.5" x14ac:dyDescent="0.25"/>
  <cols>
    <col min="1" max="1" width="2" style="6" customWidth="1"/>
    <col min="2" max="2" width="25.7109375" style="23" customWidth="1"/>
    <col min="3" max="3" width="25.7109375" style="20" customWidth="1"/>
    <col min="4" max="8" width="25.7109375" style="21" customWidth="1"/>
    <col min="10" max="10" width="17.28515625" bestFit="1" customWidth="1"/>
  </cols>
  <sheetData>
    <row r="1" spans="1:10" s="5" customFormat="1" ht="6.95" customHeight="1" x14ac:dyDescent="0.25">
      <c r="A1" s="1"/>
      <c r="B1" s="2"/>
      <c r="C1" s="3"/>
      <c r="D1" s="4"/>
      <c r="E1" s="4"/>
      <c r="F1" s="4"/>
      <c r="G1" s="4"/>
      <c r="H1" s="4"/>
    </row>
    <row r="2" spans="1:10" s="5" customFormat="1" ht="21.4" customHeight="1" x14ac:dyDescent="0.25">
      <c r="A2" s="1"/>
      <c r="B2" s="6"/>
      <c r="C2" s="3"/>
      <c r="D2" s="4"/>
      <c r="E2" s="4"/>
      <c r="F2" s="4"/>
      <c r="G2" s="4"/>
      <c r="H2" s="4"/>
    </row>
    <row r="3" spans="1:10" s="5" customFormat="1" ht="18.2" customHeight="1" x14ac:dyDescent="0.25">
      <c r="A3" s="1"/>
      <c r="B3" s="7"/>
      <c r="C3" s="3"/>
      <c r="D3" s="4"/>
      <c r="E3" s="4"/>
      <c r="F3" s="4"/>
      <c r="G3" s="4"/>
      <c r="H3" s="4"/>
    </row>
    <row r="4" spans="1:10" s="5" customFormat="1" ht="20.85" customHeight="1" thickBot="1" x14ac:dyDescent="0.45">
      <c r="A4" s="1"/>
      <c r="B4" s="103" t="s">
        <v>52</v>
      </c>
      <c r="C4" s="103"/>
      <c r="D4" s="103"/>
      <c r="E4" s="103"/>
      <c r="F4" s="103"/>
      <c r="G4" s="103"/>
      <c r="H4" s="103"/>
    </row>
    <row r="5" spans="1:10" s="5" customFormat="1" ht="57.75" customHeight="1" x14ac:dyDescent="0.25">
      <c r="A5" s="1"/>
      <c r="B5" s="8" t="s">
        <v>0</v>
      </c>
      <c r="C5" s="9" t="s">
        <v>1</v>
      </c>
      <c r="D5" s="10" t="s">
        <v>14</v>
      </c>
      <c r="E5" s="10" t="s">
        <v>15</v>
      </c>
      <c r="F5" s="10" t="s">
        <v>16</v>
      </c>
      <c r="G5" s="10" t="s">
        <v>17</v>
      </c>
      <c r="H5" s="11" t="s">
        <v>18</v>
      </c>
    </row>
    <row r="6" spans="1:10" s="5" customFormat="1" ht="39.950000000000003" customHeight="1" x14ac:dyDescent="0.25">
      <c r="A6" s="1"/>
      <c r="B6" s="104" t="s">
        <v>19</v>
      </c>
      <c r="C6" s="12" t="s">
        <v>2</v>
      </c>
      <c r="D6" s="13">
        <f>-VLOOKUP(C6,[3]Summary!$D$5:$S$23,2,0)</f>
        <v>3387280000</v>
      </c>
      <c r="E6" s="13">
        <f>-VLOOKUP(C6,[3]Summary!$D$5:$S$23,5,0)</f>
        <v>1200000000</v>
      </c>
      <c r="F6" s="13">
        <f>-VLOOKUP(C6,[3]Summary!$D$5:$S$23,10,0)</f>
        <v>-2307380000</v>
      </c>
      <c r="G6" s="13">
        <v>0</v>
      </c>
      <c r="H6" s="14">
        <f>-VLOOKUP(C6,[3]Summary!$D$5:$S$23,14,0)</f>
        <v>2279900000</v>
      </c>
    </row>
    <row r="7" spans="1:10" s="5" customFormat="1" ht="39.950000000000003" customHeight="1" x14ac:dyDescent="0.25">
      <c r="A7" s="1"/>
      <c r="B7" s="105"/>
      <c r="C7" s="12" t="s">
        <v>3</v>
      </c>
      <c r="D7" s="13">
        <f>-VLOOKUP(C7,[3]Summary!$D$5:$S$23,2,0)</f>
        <v>0</v>
      </c>
      <c r="E7" s="13">
        <f>-VLOOKUP(C7,[3]Summary!$D$5:$S$23,5,0)</f>
        <v>0</v>
      </c>
      <c r="F7" s="13">
        <f>-VLOOKUP(C7,[3]Summary!$D$5:$S$23,10,0)</f>
        <v>0</v>
      </c>
      <c r="G7" s="13">
        <v>0</v>
      </c>
      <c r="H7" s="14">
        <f>-VLOOKUP(C7,[3]Summary!$D$5:$S$23,14,0)</f>
        <v>0</v>
      </c>
    </row>
    <row r="8" spans="1:10" s="5" customFormat="1" ht="39.950000000000003" customHeight="1" x14ac:dyDescent="0.25">
      <c r="A8" s="1"/>
      <c r="B8" s="106" t="s">
        <v>4</v>
      </c>
      <c r="C8" s="107"/>
      <c r="D8" s="15">
        <f>SUM(D6:D7)</f>
        <v>3387280000</v>
      </c>
      <c r="E8" s="15">
        <f t="shared" ref="E8:H8" si="0">SUM(E6:E7)</f>
        <v>1200000000</v>
      </c>
      <c r="F8" s="15">
        <f t="shared" si="0"/>
        <v>-2307380000</v>
      </c>
      <c r="G8" s="15">
        <f t="shared" si="0"/>
        <v>0</v>
      </c>
      <c r="H8" s="15">
        <f t="shared" si="0"/>
        <v>2279900000</v>
      </c>
    </row>
    <row r="9" spans="1:10" s="5" customFormat="1" ht="39.950000000000003" customHeight="1" x14ac:dyDescent="0.25">
      <c r="A9" s="1"/>
      <c r="B9" s="104" t="s">
        <v>20</v>
      </c>
      <c r="C9" s="12" t="s">
        <v>5</v>
      </c>
      <c r="D9" s="13">
        <f>-VLOOKUP(C9,[3]Summary!$D$5:$S$23,2,0)</f>
        <v>99638059000</v>
      </c>
      <c r="E9" s="13">
        <f>-VLOOKUP(C9,[3]Summary!$D$5:$S$23,5,0)</f>
        <v>0</v>
      </c>
      <c r="F9" s="13">
        <f>-VLOOKUP(C9,[3]Summary!$D$5:$S$23,10,0)</f>
        <v>-2232192000</v>
      </c>
      <c r="G9" s="13">
        <v>0</v>
      </c>
      <c r="H9" s="14">
        <f>-VLOOKUP(C9,[3]Summary!$D$5:$S$23,14,0)</f>
        <v>97405867000</v>
      </c>
    </row>
    <row r="10" spans="1:10" s="5" customFormat="1" ht="39.950000000000003" customHeight="1" x14ac:dyDescent="0.25">
      <c r="A10" s="1"/>
      <c r="B10" s="108"/>
      <c r="C10" s="12" t="s">
        <v>6</v>
      </c>
      <c r="D10" s="13">
        <f>-VLOOKUP(C10,[3]Summary!$D$5:$S$23,2,0)</f>
        <v>44634790000</v>
      </c>
      <c r="E10" s="13">
        <f>-VLOOKUP(C10,[3]Summary!$D$5:$S$23,5,0)</f>
        <v>0</v>
      </c>
      <c r="F10" s="13">
        <f>-VLOOKUP(C10,[3]Summary!$D$5:$S$23,10,0)</f>
        <v>-2161000000</v>
      </c>
      <c r="G10" s="13">
        <v>0</v>
      </c>
      <c r="H10" s="14">
        <f>-VLOOKUP(C10,[3]Summary!$D$5:$S$23,14,0)</f>
        <v>42473790000</v>
      </c>
    </row>
    <row r="11" spans="1:10" s="5" customFormat="1" ht="39.950000000000003" customHeight="1" x14ac:dyDescent="0.25">
      <c r="A11" s="1"/>
      <c r="B11" s="108"/>
      <c r="C11" s="12" t="s">
        <v>7</v>
      </c>
      <c r="D11" s="13">
        <f>-VLOOKUP(C11,[3]Summary!$D$5:$S$23,2,0)</f>
        <v>0</v>
      </c>
      <c r="E11" s="13">
        <f>-VLOOKUP(C11,[3]Summary!$D$5:$S$23,5,0)</f>
        <v>0</v>
      </c>
      <c r="F11" s="13">
        <f>-VLOOKUP(C11,[3]Summary!$D$5:$S$23,10,0)</f>
        <v>0</v>
      </c>
      <c r="G11" s="13">
        <v>0</v>
      </c>
      <c r="H11" s="14">
        <f>-VLOOKUP(C11,[3]Summary!$D$5:$S$23,14,0)</f>
        <v>0</v>
      </c>
    </row>
    <row r="12" spans="1:10" s="5" customFormat="1" ht="39.950000000000003" customHeight="1" x14ac:dyDescent="0.25">
      <c r="A12" s="1"/>
      <c r="B12" s="108"/>
      <c r="C12" s="12" t="s">
        <v>8</v>
      </c>
      <c r="D12" s="13">
        <v>0</v>
      </c>
      <c r="E12" s="13">
        <v>0</v>
      </c>
      <c r="F12" s="13">
        <v>0</v>
      </c>
      <c r="G12" s="13">
        <v>0</v>
      </c>
      <c r="H12" s="14">
        <v>0</v>
      </c>
    </row>
    <row r="13" spans="1:10" s="5" customFormat="1" ht="39.950000000000003" customHeight="1" x14ac:dyDescent="0.25">
      <c r="A13" s="1"/>
      <c r="B13" s="108"/>
      <c r="C13" s="12" t="s">
        <v>9</v>
      </c>
      <c r="D13" s="13">
        <f>-VLOOKUP(C13,[3]Summary!$D$5:$S$23,2,0)-[3]Summary!E18</f>
        <v>14227424275.369999</v>
      </c>
      <c r="E13" s="13">
        <f>-VLOOKUP(C13,[3]Summary!$D$5:$S$23,5,0)</f>
        <v>0</v>
      </c>
      <c r="F13" s="13">
        <f>-VLOOKUP(C13,[3]Summary!$D$5:$S$23,10,0)-[3]Summary!M18</f>
        <v>-163876130.20999998</v>
      </c>
      <c r="G13" s="13">
        <v>0</v>
      </c>
      <c r="H13" s="14">
        <f>-VLOOKUP(C13,[3]Summary!$D$5:$S$23,14,0)-[3]Summary!Q18</f>
        <v>14063548145.16</v>
      </c>
    </row>
    <row r="14" spans="1:10" s="5" customFormat="1" ht="39.950000000000003" customHeight="1" x14ac:dyDescent="0.25">
      <c r="A14" s="1"/>
      <c r="B14" s="108"/>
      <c r="C14" s="12" t="s">
        <v>10</v>
      </c>
      <c r="D14" s="13">
        <f>-VLOOKUP(C14,[3]Summary!$D$5:$S$23,2,0)</f>
        <v>493755169.55000001</v>
      </c>
      <c r="E14" s="13">
        <f>-VLOOKUP(C14,[3]Summary!$D$5:$S$23,5,0)</f>
        <v>0</v>
      </c>
      <c r="F14" s="13">
        <f>-VLOOKUP(C14,[3]Summary!$D$5:$S$23,10,0)</f>
        <v>-141830000.09999999</v>
      </c>
      <c r="G14" s="13">
        <f>-VLOOKUP(C14,[3]Summary!$D$5:$S$23,11,0)</f>
        <v>-8903921.3000000007</v>
      </c>
      <c r="H14" s="14">
        <f>-VLOOKUP(C14,[3]Summary!$D$5:$S$23,14,0)</f>
        <v>343021248.14999998</v>
      </c>
    </row>
    <row r="15" spans="1:10" s="5" customFormat="1" ht="39.950000000000003" customHeight="1" x14ac:dyDescent="0.25">
      <c r="A15" s="1"/>
      <c r="B15" s="108"/>
      <c r="C15" s="12" t="s">
        <v>11</v>
      </c>
      <c r="D15" s="13">
        <f>-VLOOKUP(C15,[3]Summary!$D$5:$S$23,2,0)</f>
        <v>8648599149.75</v>
      </c>
      <c r="E15" s="13">
        <f>-VLOOKUP(C15,[3]Summary!$D$5:$S$23,5,0)</f>
        <v>0</v>
      </c>
      <c r="F15" s="13">
        <f>-VLOOKUP(C15,[3]Summary!$D$5:$S$23,10,0)</f>
        <v>-139061000</v>
      </c>
      <c r="G15" s="13">
        <v>0</v>
      </c>
      <c r="H15" s="14">
        <f>-VLOOKUP(C15,[3]Summary!$D$5:$S$23,14,0)</f>
        <v>8509538149.75</v>
      </c>
    </row>
    <row r="16" spans="1:10" s="5" customFormat="1" ht="39.950000000000003" customHeight="1" x14ac:dyDescent="0.25">
      <c r="A16" s="1"/>
      <c r="B16" s="108"/>
      <c r="C16" s="12" t="s">
        <v>12</v>
      </c>
      <c r="D16" s="13">
        <f>-VLOOKUP(C16,[3]Summary!$D$5:$S$22,2,0)-[3]Summary!E22</f>
        <v>92374255000</v>
      </c>
      <c r="E16" s="13">
        <f>-VLOOKUP(C16,[3]Summary!$D$5:$S$23,5,0)</f>
        <v>0</v>
      </c>
      <c r="F16" s="13">
        <f>-VLOOKUP(C16,[3]Summary!$D$5:$S$23,10,0)-[3]Summary!K22</f>
        <v>-4750000000</v>
      </c>
      <c r="G16" s="13">
        <v>0</v>
      </c>
      <c r="H16" s="14">
        <f>-VLOOKUP(C16,[3]Summary!$D$5:$S$23,14,0)-[3]Summary!Q22</f>
        <v>87624255000</v>
      </c>
      <c r="J16" s="16"/>
    </row>
    <row r="17" spans="1:8" s="5" customFormat="1" ht="45" customHeight="1" x14ac:dyDescent="0.25">
      <c r="A17" s="1"/>
      <c r="B17" s="109" t="s">
        <v>13</v>
      </c>
      <c r="C17" s="110"/>
      <c r="D17" s="17">
        <f>SUM(D9:D16)</f>
        <v>260016882594.66998</v>
      </c>
      <c r="E17" s="17">
        <f t="shared" ref="E17:H17" si="1">SUM(E9:E16)</f>
        <v>0</v>
      </c>
      <c r="F17" s="17">
        <f t="shared" si="1"/>
        <v>-9587959130.3100014</v>
      </c>
      <c r="G17" s="17">
        <f t="shared" si="1"/>
        <v>-8903921.3000000007</v>
      </c>
      <c r="H17" s="17">
        <f t="shared" si="1"/>
        <v>250420019543.06</v>
      </c>
    </row>
    <row r="18" spans="1:8" s="5" customFormat="1" ht="45" customHeight="1" thickBot="1" x14ac:dyDescent="0.3">
      <c r="A18" s="1"/>
      <c r="B18" s="101" t="s">
        <v>21</v>
      </c>
      <c r="C18" s="102"/>
      <c r="D18" s="18">
        <f>D17+D8</f>
        <v>263404162594.66998</v>
      </c>
      <c r="E18" s="18">
        <f t="shared" ref="E18:H18" si="2">E17+E8</f>
        <v>1200000000</v>
      </c>
      <c r="F18" s="18">
        <f t="shared" si="2"/>
        <v>-11895339130.310001</v>
      </c>
      <c r="G18" s="18">
        <f t="shared" si="2"/>
        <v>-8903921.3000000007</v>
      </c>
      <c r="H18" s="18">
        <f t="shared" si="2"/>
        <v>252699919543.06</v>
      </c>
    </row>
    <row r="20" spans="1:8" ht="15.75" x14ac:dyDescent="0.25">
      <c r="B20" s="19" t="s">
        <v>22</v>
      </c>
    </row>
    <row r="21" spans="1:8" ht="15" x14ac:dyDescent="0.25">
      <c r="B21" s="70" t="s">
        <v>23</v>
      </c>
    </row>
    <row r="22" spans="1:8" ht="15" x14ac:dyDescent="0.25">
      <c r="B22" s="69" t="s">
        <v>24</v>
      </c>
    </row>
    <row r="23" spans="1:8" ht="15" customHeight="1" x14ac:dyDescent="0.25">
      <c r="B23" s="111" t="s">
        <v>41</v>
      </c>
      <c r="C23" s="111"/>
      <c r="D23" s="111"/>
      <c r="E23" s="111"/>
      <c r="F23" s="111"/>
      <c r="G23" s="111"/>
      <c r="H23" s="111"/>
    </row>
    <row r="24" spans="1:8" ht="15" customHeight="1" x14ac:dyDescent="0.25">
      <c r="B24" s="111"/>
      <c r="C24" s="111"/>
      <c r="D24" s="111"/>
      <c r="E24" s="111"/>
      <c r="F24" s="111"/>
      <c r="G24" s="111"/>
      <c r="H24" s="111"/>
    </row>
    <row r="25" spans="1:8" ht="15" x14ac:dyDescent="0.25">
      <c r="B25" s="70" t="s">
        <v>40</v>
      </c>
    </row>
    <row r="27" spans="1:8" ht="15.75" x14ac:dyDescent="0.25">
      <c r="B27" s="19" t="s">
        <v>27</v>
      </c>
      <c r="D27" s="24"/>
      <c r="E27" s="24"/>
      <c r="F27" s="24"/>
      <c r="G27" s="24"/>
      <c r="H27" s="24"/>
    </row>
    <row r="28" spans="1:8" x14ac:dyDescent="0.25">
      <c r="B28" s="88" t="s">
        <v>28</v>
      </c>
      <c r="C28" s="88"/>
      <c r="D28" s="88"/>
      <c r="E28" s="88"/>
      <c r="F28" s="88"/>
      <c r="G28" s="88"/>
      <c r="H28" s="88"/>
    </row>
    <row r="29" spans="1:8" x14ac:dyDescent="0.25">
      <c r="B29" s="88"/>
      <c r="C29" s="88"/>
      <c r="D29" s="88"/>
      <c r="E29" s="88"/>
      <c r="F29" s="88"/>
      <c r="G29" s="88"/>
      <c r="H29" s="88"/>
    </row>
    <row r="30" spans="1:8" x14ac:dyDescent="0.25">
      <c r="B30" s="88"/>
      <c r="C30" s="88"/>
      <c r="D30" s="88"/>
      <c r="E30" s="88"/>
      <c r="F30" s="88"/>
      <c r="G30" s="88"/>
      <c r="H30" s="88"/>
    </row>
    <row r="31" spans="1:8" x14ac:dyDescent="0.25">
      <c r="B31" s="88"/>
      <c r="C31" s="88"/>
      <c r="D31" s="88"/>
      <c r="E31" s="88"/>
      <c r="F31" s="88"/>
      <c r="G31" s="88"/>
      <c r="H31" s="88"/>
    </row>
    <row r="32" spans="1:8" x14ac:dyDescent="0.25">
      <c r="B32" s="88"/>
      <c r="C32" s="88"/>
      <c r="D32" s="88"/>
      <c r="E32" s="88"/>
      <c r="F32" s="88"/>
      <c r="G32" s="88"/>
      <c r="H32" s="88"/>
    </row>
    <row r="33" spans="2:8" x14ac:dyDescent="0.25">
      <c r="B33" s="88"/>
      <c r="C33" s="88"/>
      <c r="D33" s="88"/>
      <c r="E33" s="88"/>
      <c r="F33" s="88"/>
      <c r="G33" s="88"/>
      <c r="H33" s="88"/>
    </row>
  </sheetData>
  <mergeCells count="8">
    <mergeCell ref="B28:H33"/>
    <mergeCell ref="B23:H24"/>
    <mergeCell ref="B4:H4"/>
    <mergeCell ref="B6:B7"/>
    <mergeCell ref="B8:C8"/>
    <mergeCell ref="B9:B16"/>
    <mergeCell ref="B17:C17"/>
    <mergeCell ref="B18:C18"/>
  </mergeCells>
  <pageMargins left="0.7" right="0.7" top="0.75" bottom="0.75" header="0.3" footer="0.3"/>
  <pageSetup paperSize="4" scale="58" orientation="landscape" r:id="rId1"/>
  <headerFooter alignWithMargins="0"/>
  <ignoredErrors>
    <ignoredError sqref="D8:F8 H8"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AF9AC-068F-446F-AC9B-6893E86596CE}">
  <dimension ref="A1:J33"/>
  <sheetViews>
    <sheetView zoomScaleNormal="100" workbookViewId="0">
      <selection activeCell="K6" sqref="K6"/>
    </sheetView>
  </sheetViews>
  <sheetFormatPr defaultRowHeight="13.5" x14ac:dyDescent="0.25"/>
  <cols>
    <col min="1" max="1" width="2" style="6" customWidth="1"/>
    <col min="2" max="2" width="25.7109375" style="23" customWidth="1"/>
    <col min="3" max="3" width="25.7109375" style="20" customWidth="1"/>
    <col min="4" max="8" width="25.7109375" style="21" customWidth="1"/>
    <col min="10" max="10" width="17.28515625" bestFit="1" customWidth="1"/>
  </cols>
  <sheetData>
    <row r="1" spans="1:10" s="5" customFormat="1" ht="6.95" customHeight="1" x14ac:dyDescent="0.25">
      <c r="A1" s="1"/>
      <c r="B1" s="2"/>
      <c r="C1" s="3"/>
      <c r="D1" s="4"/>
      <c r="E1" s="4"/>
      <c r="F1" s="4"/>
      <c r="G1" s="4"/>
      <c r="H1" s="4"/>
    </row>
    <row r="2" spans="1:10" s="5" customFormat="1" ht="21.4" customHeight="1" x14ac:dyDescent="0.25">
      <c r="A2" s="1"/>
      <c r="B2" s="6"/>
      <c r="C2" s="3"/>
      <c r="D2" s="4"/>
      <c r="E2" s="4"/>
      <c r="F2" s="4"/>
      <c r="G2" s="4"/>
      <c r="H2" s="4"/>
    </row>
    <row r="3" spans="1:10" s="5" customFormat="1" ht="18.2" customHeight="1" x14ac:dyDescent="0.25">
      <c r="A3" s="1"/>
      <c r="B3" s="7"/>
      <c r="C3" s="3"/>
      <c r="D3" s="4"/>
      <c r="E3" s="4"/>
      <c r="F3" s="4"/>
      <c r="G3" s="4"/>
      <c r="H3" s="4"/>
    </row>
    <row r="4" spans="1:10" s="5" customFormat="1" ht="20.85" customHeight="1" thickBot="1" x14ac:dyDescent="0.45">
      <c r="A4" s="1"/>
      <c r="B4" s="103" t="s">
        <v>51</v>
      </c>
      <c r="C4" s="103"/>
      <c r="D4" s="103"/>
      <c r="E4" s="103"/>
      <c r="F4" s="103"/>
      <c r="G4" s="103"/>
      <c r="H4" s="103"/>
    </row>
    <row r="5" spans="1:10" s="5" customFormat="1" ht="57.75" customHeight="1" x14ac:dyDescent="0.25">
      <c r="A5" s="1"/>
      <c r="B5" s="8" t="s">
        <v>0</v>
      </c>
      <c r="C5" s="9" t="s">
        <v>1</v>
      </c>
      <c r="D5" s="10" t="s">
        <v>14</v>
      </c>
      <c r="E5" s="10" t="s">
        <v>15</v>
      </c>
      <c r="F5" s="10" t="s">
        <v>16</v>
      </c>
      <c r="G5" s="10" t="s">
        <v>17</v>
      </c>
      <c r="H5" s="11" t="s">
        <v>18</v>
      </c>
    </row>
    <row r="6" spans="1:10" s="5" customFormat="1" ht="39.950000000000003" customHeight="1" x14ac:dyDescent="0.25">
      <c r="A6" s="1"/>
      <c r="B6" s="104" t="s">
        <v>19</v>
      </c>
      <c r="C6" s="12" t="s">
        <v>2</v>
      </c>
      <c r="D6" s="13">
        <f>-VLOOKUP(C6,[4]Summary!$D$5:$S$23,2,0)</f>
        <v>2279900000</v>
      </c>
      <c r="E6" s="13">
        <f>-VLOOKUP(C6,[4]Summary!$D$5:$S$23,5,0)</f>
        <v>12400000000</v>
      </c>
      <c r="F6" s="13">
        <f>-VLOOKUP(C6,[4]Summary!$D$5:$S$23,10,0)</f>
        <v>-11624900000</v>
      </c>
      <c r="G6" s="13">
        <v>0</v>
      </c>
      <c r="H6" s="14">
        <f>-VLOOKUP(C6,[4]Summary!$D$5:$S$23,14,0)</f>
        <v>3055000000</v>
      </c>
    </row>
    <row r="7" spans="1:10" s="5" customFormat="1" ht="39.950000000000003" customHeight="1" x14ac:dyDescent="0.25">
      <c r="A7" s="1"/>
      <c r="B7" s="105"/>
      <c r="C7" s="12" t="s">
        <v>3</v>
      </c>
      <c r="D7" s="13">
        <f>-VLOOKUP(C7,[4]Summary!$D$5:$S$23,2,0)</f>
        <v>0</v>
      </c>
      <c r="E7" s="13">
        <f>-VLOOKUP(C7,[4]Summary!$D$5:$S$23,5,0)</f>
        <v>0</v>
      </c>
      <c r="F7" s="13">
        <f>-VLOOKUP(C7,[4]Summary!$D$5:$S$23,10,0)</f>
        <v>0</v>
      </c>
      <c r="G7" s="13">
        <v>0</v>
      </c>
      <c r="H7" s="14">
        <f>-VLOOKUP(C7,[4]Summary!$D$5:$S$23,14,0)</f>
        <v>0</v>
      </c>
    </row>
    <row r="8" spans="1:10" s="5" customFormat="1" ht="39.950000000000003" customHeight="1" x14ac:dyDescent="0.25">
      <c r="A8" s="1"/>
      <c r="B8" s="106" t="s">
        <v>4</v>
      </c>
      <c r="C8" s="107"/>
      <c r="D8" s="15">
        <f>SUM(D6:D7)</f>
        <v>2279900000</v>
      </c>
      <c r="E8" s="15">
        <f t="shared" ref="E8:H8" si="0">SUM(E6:E7)</f>
        <v>12400000000</v>
      </c>
      <c r="F8" s="15">
        <f t="shared" si="0"/>
        <v>-11624900000</v>
      </c>
      <c r="G8" s="15">
        <f t="shared" si="0"/>
        <v>0</v>
      </c>
      <c r="H8" s="15">
        <f t="shared" si="0"/>
        <v>3055000000</v>
      </c>
    </row>
    <row r="9" spans="1:10" s="5" customFormat="1" ht="39.950000000000003" customHeight="1" x14ac:dyDescent="0.25">
      <c r="A9" s="1"/>
      <c r="B9" s="104" t="s">
        <v>20</v>
      </c>
      <c r="C9" s="12" t="s">
        <v>5</v>
      </c>
      <c r="D9" s="13">
        <f>-VLOOKUP(C9,[4]Summary!$D$5:$S$23,2,0)</f>
        <v>97405867000</v>
      </c>
      <c r="E9" s="13">
        <f>-VLOOKUP(C9,[4]Summary!$D$5:$S$23,5,0)</f>
        <v>0</v>
      </c>
      <c r="F9" s="13">
        <f>-VLOOKUP(C9,[4]Summary!$D$5:$S$23,10,0)</f>
        <v>0</v>
      </c>
      <c r="G9" s="13">
        <v>0</v>
      </c>
      <c r="H9" s="14">
        <f>-VLOOKUP(C9,[4]Summary!$D$5:$S$23,14,0)</f>
        <v>97405867000</v>
      </c>
    </row>
    <row r="10" spans="1:10" s="5" customFormat="1" ht="39.950000000000003" customHeight="1" x14ac:dyDescent="0.25">
      <c r="A10" s="1"/>
      <c r="B10" s="108"/>
      <c r="C10" s="12" t="s">
        <v>6</v>
      </c>
      <c r="D10" s="13">
        <f>-VLOOKUP(C10,[4]Summary!$D$5:$S$23,2,0)</f>
        <v>42473790000</v>
      </c>
      <c r="E10" s="13">
        <f>-VLOOKUP(C10,[4]Summary!$D$5:$S$23,5,0)</f>
        <v>0</v>
      </c>
      <c r="F10" s="13">
        <f>-VLOOKUP(C10,[4]Summary!$D$5:$S$23,10,0)</f>
        <v>-3586000000</v>
      </c>
      <c r="G10" s="13">
        <v>0</v>
      </c>
      <c r="H10" s="14">
        <f>-VLOOKUP(C10,[4]Summary!$D$5:$S$23,14,0)</f>
        <v>38887790000</v>
      </c>
    </row>
    <row r="11" spans="1:10" s="5" customFormat="1" ht="39.950000000000003" customHeight="1" x14ac:dyDescent="0.25">
      <c r="A11" s="1"/>
      <c r="B11" s="108"/>
      <c r="C11" s="12" t="s">
        <v>7</v>
      </c>
      <c r="D11" s="13">
        <f>-VLOOKUP(C11,[4]Summary!$D$5:$S$23,2,0)</f>
        <v>0</v>
      </c>
      <c r="E11" s="13">
        <f>-VLOOKUP(C11,[4]Summary!$D$5:$S$23,5,0)</f>
        <v>0</v>
      </c>
      <c r="F11" s="13">
        <f>-VLOOKUP(C11,[4]Summary!$D$5:$S$23,10,0)</f>
        <v>0</v>
      </c>
      <c r="G11" s="13">
        <v>0</v>
      </c>
      <c r="H11" s="14">
        <f>-VLOOKUP(C11,[4]Summary!$D$5:$S$23,14,0)</f>
        <v>0</v>
      </c>
    </row>
    <row r="12" spans="1:10" s="5" customFormat="1" ht="39.950000000000003" customHeight="1" x14ac:dyDescent="0.25">
      <c r="A12" s="1"/>
      <c r="B12" s="108"/>
      <c r="C12" s="12" t="s">
        <v>8</v>
      </c>
      <c r="D12" s="13">
        <v>0</v>
      </c>
      <c r="E12" s="13">
        <v>0</v>
      </c>
      <c r="F12" s="13">
        <v>0</v>
      </c>
      <c r="G12" s="13">
        <v>0</v>
      </c>
      <c r="H12" s="14">
        <v>0</v>
      </c>
    </row>
    <row r="13" spans="1:10" s="5" customFormat="1" ht="39.950000000000003" customHeight="1" x14ac:dyDescent="0.25">
      <c r="A13" s="1"/>
      <c r="B13" s="108"/>
      <c r="C13" s="12" t="s">
        <v>9</v>
      </c>
      <c r="D13" s="13">
        <f>-VLOOKUP(C13,[4]Summary!$D$5:$S$23,2,0)-[4]Summary!E18</f>
        <v>14063548145.16</v>
      </c>
      <c r="E13" s="13">
        <f>-VLOOKUP(C13,[4]Summary!$D$5:$S$23,5,0)</f>
        <v>0</v>
      </c>
      <c r="F13" s="13">
        <f>-VLOOKUP(C13,[4]Summary!$D$5:$S$23,10,0)-[4]Summary!M18</f>
        <v>-134889302.22999999</v>
      </c>
      <c r="G13" s="13">
        <v>0</v>
      </c>
      <c r="H13" s="14">
        <f>-VLOOKUP(C13,[4]Summary!$D$5:$S$23,14,0)-[4]Summary!Q18</f>
        <v>13928658842.93</v>
      </c>
    </row>
    <row r="14" spans="1:10" s="5" customFormat="1" ht="39.950000000000003" customHeight="1" x14ac:dyDescent="0.25">
      <c r="A14" s="1"/>
      <c r="B14" s="108"/>
      <c r="C14" s="12" t="s">
        <v>10</v>
      </c>
      <c r="D14" s="13">
        <f>-VLOOKUP(C14,[4]Summary!$D$5:$S$23,2,0)</f>
        <v>343021248.14999998</v>
      </c>
      <c r="E14" s="13">
        <f>-VLOOKUP(C14,[4]Summary!$D$5:$S$23,5,0)</f>
        <v>0</v>
      </c>
      <c r="F14" s="13">
        <f>-VLOOKUP(C14,[4]Summary!$D$5:$S$23,10,0)</f>
        <v>0</v>
      </c>
      <c r="G14" s="13">
        <f>-VLOOKUP(C14,[4]Summary!$D$5:$S$23,11,0)</f>
        <v>1810465.7</v>
      </c>
      <c r="H14" s="14">
        <f>-VLOOKUP(C14,[4]Summary!$D$5:$S$23,14,0)</f>
        <v>344831713.85000002</v>
      </c>
    </row>
    <row r="15" spans="1:10" s="5" customFormat="1" ht="39.950000000000003" customHeight="1" x14ac:dyDescent="0.25">
      <c r="A15" s="1"/>
      <c r="B15" s="108"/>
      <c r="C15" s="12" t="s">
        <v>11</v>
      </c>
      <c r="D15" s="13">
        <f>-VLOOKUP(C15,[4]Summary!$D$5:$S$23,2,0)</f>
        <v>8509538149.75</v>
      </c>
      <c r="E15" s="13">
        <f>-VLOOKUP(C15,[4]Summary!$D$5:$S$23,5,0)</f>
        <v>0</v>
      </c>
      <c r="F15" s="13">
        <f>-VLOOKUP(C15,[4]Summary!$D$5:$S$23,10,0)</f>
        <v>-240000000</v>
      </c>
      <c r="G15" s="13">
        <v>0</v>
      </c>
      <c r="H15" s="14">
        <f>-VLOOKUP(C15,[4]Summary!$D$5:$S$23,14,0)</f>
        <v>8269538149.75</v>
      </c>
    </row>
    <row r="16" spans="1:10" s="5" customFormat="1" ht="39.950000000000003" customHeight="1" x14ac:dyDescent="0.25">
      <c r="A16" s="1"/>
      <c r="B16" s="108"/>
      <c r="C16" s="12" t="s">
        <v>12</v>
      </c>
      <c r="D16" s="13">
        <f>-VLOOKUP(C16,[4]Summary!$D$5:$S$22,2,0)-[4]Summary!E22</f>
        <v>87624255000</v>
      </c>
      <c r="E16" s="13">
        <f>-VLOOKUP(C16,[4]Summary!$D$5:$S$23,5,0)</f>
        <v>0</v>
      </c>
      <c r="F16" s="13">
        <f>-VLOOKUP(C16,[4]Summary!$D$5:$S$23,10,0)-[4]Summary!K22</f>
        <v>-3215000000</v>
      </c>
      <c r="G16" s="13">
        <v>0</v>
      </c>
      <c r="H16" s="14">
        <f>-VLOOKUP(C16,[4]Summary!$D$5:$S$23,14,0)-[4]Summary!Q22</f>
        <v>84409255000</v>
      </c>
      <c r="J16" s="16"/>
    </row>
    <row r="17" spans="1:8" s="5" customFormat="1" ht="45" customHeight="1" x14ac:dyDescent="0.25">
      <c r="A17" s="1"/>
      <c r="B17" s="109" t="s">
        <v>13</v>
      </c>
      <c r="C17" s="110"/>
      <c r="D17" s="17">
        <f>SUM(D9:D16)</f>
        <v>250420019543.06</v>
      </c>
      <c r="E17" s="17">
        <f t="shared" ref="E17:H17" si="1">SUM(E9:E16)</f>
        <v>0</v>
      </c>
      <c r="F17" s="17">
        <f t="shared" si="1"/>
        <v>-7175889302.2299995</v>
      </c>
      <c r="G17" s="17">
        <f t="shared" si="1"/>
        <v>1810465.7</v>
      </c>
      <c r="H17" s="17">
        <f t="shared" si="1"/>
        <v>243245940706.53</v>
      </c>
    </row>
    <row r="18" spans="1:8" s="5" customFormat="1" ht="45" customHeight="1" thickBot="1" x14ac:dyDescent="0.3">
      <c r="A18" s="1"/>
      <c r="B18" s="101" t="s">
        <v>21</v>
      </c>
      <c r="C18" s="102"/>
      <c r="D18" s="18">
        <f>D17+D8</f>
        <v>252699919543.06</v>
      </c>
      <c r="E18" s="18">
        <f t="shared" ref="E18:H18" si="2">E17+E8</f>
        <v>12400000000</v>
      </c>
      <c r="F18" s="18">
        <f t="shared" si="2"/>
        <v>-18800789302.23</v>
      </c>
      <c r="G18" s="18">
        <f t="shared" si="2"/>
        <v>1810465.7</v>
      </c>
      <c r="H18" s="18">
        <f t="shared" si="2"/>
        <v>246300940706.53</v>
      </c>
    </row>
    <row r="20" spans="1:8" ht="15.75" x14ac:dyDescent="0.25">
      <c r="B20" s="19" t="s">
        <v>22</v>
      </c>
    </row>
    <row r="21" spans="1:8" ht="15" x14ac:dyDescent="0.25">
      <c r="B21" s="70" t="s">
        <v>23</v>
      </c>
    </row>
    <row r="22" spans="1:8" ht="15" x14ac:dyDescent="0.25">
      <c r="B22" s="69" t="s">
        <v>24</v>
      </c>
    </row>
    <row r="23" spans="1:8" x14ac:dyDescent="0.25">
      <c r="B23" s="111" t="s">
        <v>41</v>
      </c>
      <c r="C23" s="111"/>
      <c r="D23" s="111"/>
      <c r="E23" s="111"/>
      <c r="F23" s="111"/>
      <c r="G23" s="111"/>
      <c r="H23" s="111"/>
    </row>
    <row r="24" spans="1:8" x14ac:dyDescent="0.25">
      <c r="B24" s="111"/>
      <c r="C24" s="111"/>
      <c r="D24" s="111"/>
      <c r="E24" s="111"/>
      <c r="F24" s="111"/>
      <c r="G24" s="111"/>
      <c r="H24" s="111"/>
    </row>
    <row r="25" spans="1:8" ht="15" x14ac:dyDescent="0.25">
      <c r="B25" s="70" t="s">
        <v>42</v>
      </c>
    </row>
    <row r="27" spans="1:8" ht="15.75" x14ac:dyDescent="0.25">
      <c r="B27" s="19" t="s">
        <v>27</v>
      </c>
      <c r="D27" s="24"/>
      <c r="E27" s="24"/>
      <c r="F27" s="24"/>
      <c r="G27" s="24"/>
      <c r="H27" s="24"/>
    </row>
    <row r="28" spans="1:8" x14ac:dyDescent="0.25">
      <c r="B28" s="88" t="s">
        <v>28</v>
      </c>
      <c r="C28" s="88"/>
      <c r="D28" s="88"/>
      <c r="E28" s="88"/>
      <c r="F28" s="88"/>
      <c r="G28" s="88"/>
      <c r="H28" s="88"/>
    </row>
    <row r="29" spans="1:8" x14ac:dyDescent="0.25">
      <c r="B29" s="88"/>
      <c r="C29" s="88"/>
      <c r="D29" s="88"/>
      <c r="E29" s="88"/>
      <c r="F29" s="88"/>
      <c r="G29" s="88"/>
      <c r="H29" s="88"/>
    </row>
    <row r="30" spans="1:8" x14ac:dyDescent="0.25">
      <c r="B30" s="88"/>
      <c r="C30" s="88"/>
      <c r="D30" s="88"/>
      <c r="E30" s="88"/>
      <c r="F30" s="88"/>
      <c r="G30" s="88"/>
      <c r="H30" s="88"/>
    </row>
    <row r="31" spans="1:8" x14ac:dyDescent="0.25">
      <c r="B31" s="88"/>
      <c r="C31" s="88"/>
      <c r="D31" s="88"/>
      <c r="E31" s="88"/>
      <c r="F31" s="88"/>
      <c r="G31" s="88"/>
      <c r="H31" s="88"/>
    </row>
    <row r="32" spans="1:8" x14ac:dyDescent="0.25">
      <c r="B32" s="88"/>
      <c r="C32" s="88"/>
      <c r="D32" s="88"/>
      <c r="E32" s="88"/>
      <c r="F32" s="88"/>
      <c r="G32" s="88"/>
      <c r="H32" s="88"/>
    </row>
    <row r="33" spans="2:8" x14ac:dyDescent="0.25">
      <c r="B33" s="88"/>
      <c r="C33" s="88"/>
      <c r="D33" s="88"/>
      <c r="E33" s="88"/>
      <c r="F33" s="88"/>
      <c r="G33" s="88"/>
      <c r="H33" s="88"/>
    </row>
  </sheetData>
  <mergeCells count="8">
    <mergeCell ref="B23:H24"/>
    <mergeCell ref="B28:H33"/>
    <mergeCell ref="B4:H4"/>
    <mergeCell ref="B6:B7"/>
    <mergeCell ref="B8:C8"/>
    <mergeCell ref="B9:B16"/>
    <mergeCell ref="B17:C17"/>
    <mergeCell ref="B18:C18"/>
  </mergeCells>
  <pageMargins left="0.7" right="0.7" top="0.75" bottom="0.75" header="0.3" footer="0.3"/>
  <pageSetup paperSize="4" scale="59" orientation="landscape" r:id="rId1"/>
  <headerFooter alignWithMargins="0"/>
  <ignoredErrors>
    <ignoredError sqref="D8:F8 H8"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4CA77-1557-44F1-8FC2-C915C44701CC}">
  <dimension ref="A1:J33"/>
  <sheetViews>
    <sheetView zoomScaleNormal="100" workbookViewId="0">
      <selection activeCell="B4" sqref="B4:H4"/>
    </sheetView>
  </sheetViews>
  <sheetFormatPr defaultRowHeight="13.5" x14ac:dyDescent="0.25"/>
  <cols>
    <col min="1" max="1" width="2" style="6" customWidth="1"/>
    <col min="2" max="2" width="25.7109375" style="23" customWidth="1"/>
    <col min="3" max="3" width="25.7109375" style="20" customWidth="1"/>
    <col min="4" max="8" width="25.7109375" style="21" customWidth="1"/>
    <col min="10" max="10" width="17.28515625" bestFit="1" customWidth="1"/>
  </cols>
  <sheetData>
    <row r="1" spans="1:10" s="5" customFormat="1" ht="6.95" customHeight="1" x14ac:dyDescent="0.25">
      <c r="A1" s="1"/>
      <c r="B1" s="2"/>
      <c r="C1" s="3"/>
      <c r="D1" s="4"/>
      <c r="E1" s="4"/>
      <c r="F1" s="4"/>
      <c r="G1" s="4"/>
      <c r="H1" s="4"/>
    </row>
    <row r="2" spans="1:10" s="5" customFormat="1" ht="21.4" customHeight="1" x14ac:dyDescent="0.25">
      <c r="A2" s="1"/>
      <c r="B2" s="6"/>
      <c r="C2" s="3"/>
      <c r="D2" s="4"/>
      <c r="E2" s="4"/>
      <c r="F2" s="4"/>
      <c r="G2" s="4"/>
      <c r="H2" s="4"/>
    </row>
    <row r="3" spans="1:10" s="5" customFormat="1" ht="18.2" customHeight="1" x14ac:dyDescent="0.25">
      <c r="A3" s="1"/>
      <c r="B3" s="7"/>
      <c r="C3" s="3"/>
      <c r="D3" s="4"/>
      <c r="E3" s="4"/>
      <c r="F3" s="4"/>
      <c r="G3" s="4"/>
      <c r="H3" s="4"/>
    </row>
    <row r="4" spans="1:10" s="5" customFormat="1" ht="20.85" customHeight="1" thickBot="1" x14ac:dyDescent="0.45">
      <c r="A4" s="1"/>
      <c r="B4" s="103" t="s">
        <v>43</v>
      </c>
      <c r="C4" s="103"/>
      <c r="D4" s="103"/>
      <c r="E4" s="103"/>
      <c r="F4" s="103"/>
      <c r="G4" s="103"/>
      <c r="H4" s="103"/>
    </row>
    <row r="5" spans="1:10" s="5" customFormat="1" ht="57.75" customHeight="1" x14ac:dyDescent="0.25">
      <c r="A5" s="1"/>
      <c r="B5" s="8" t="s">
        <v>0</v>
      </c>
      <c r="C5" s="9" t="s">
        <v>1</v>
      </c>
      <c r="D5" s="10" t="s">
        <v>14</v>
      </c>
      <c r="E5" s="10" t="s">
        <v>15</v>
      </c>
      <c r="F5" s="10" t="s">
        <v>16</v>
      </c>
      <c r="G5" s="10" t="s">
        <v>17</v>
      </c>
      <c r="H5" s="11" t="s">
        <v>18</v>
      </c>
    </row>
    <row r="6" spans="1:10" s="5" customFormat="1" ht="39.950000000000003" customHeight="1" x14ac:dyDescent="0.25">
      <c r="A6" s="1"/>
      <c r="B6" s="104" t="s">
        <v>19</v>
      </c>
      <c r="C6" s="12" t="s">
        <v>2</v>
      </c>
      <c r="D6" s="13">
        <f>-VLOOKUP(C6,[5]Summary!$D$5:$S$23,2,0)</f>
        <v>3055000000</v>
      </c>
      <c r="E6" s="13">
        <f>-VLOOKUP(C6,[5]Summary!$D$5:$S$23,5,0)</f>
        <v>10450000000</v>
      </c>
      <c r="F6" s="13">
        <f>-VLOOKUP(C6,[5]Summary!$D$5:$S$23,10,0)</f>
        <v>-10210000000</v>
      </c>
      <c r="G6" s="13">
        <v>0</v>
      </c>
      <c r="H6" s="14">
        <f>-VLOOKUP(C6,[5]Summary!$D$5:$S$23,14,0)</f>
        <v>3295000000</v>
      </c>
    </row>
    <row r="7" spans="1:10" s="5" customFormat="1" ht="39.950000000000003" customHeight="1" x14ac:dyDescent="0.25">
      <c r="A7" s="1"/>
      <c r="B7" s="105"/>
      <c r="C7" s="12" t="s">
        <v>3</v>
      </c>
      <c r="D7" s="13">
        <f>-VLOOKUP(C7,[5]Summary!$D$5:$S$23,2,0)</f>
        <v>0</v>
      </c>
      <c r="E7" s="13">
        <f>-VLOOKUP(C7,[5]Summary!$D$5:$S$23,5,0)</f>
        <v>0</v>
      </c>
      <c r="F7" s="13">
        <f>-VLOOKUP(C7,[5]Summary!$D$5:$S$23,10,0)</f>
        <v>0</v>
      </c>
      <c r="G7" s="13">
        <v>0</v>
      </c>
      <c r="H7" s="14">
        <f>-VLOOKUP(C7,[5]Summary!$D$5:$S$23,14,0)</f>
        <v>0</v>
      </c>
    </row>
    <row r="8" spans="1:10" s="5" customFormat="1" ht="39.950000000000003" customHeight="1" x14ac:dyDescent="0.25">
      <c r="A8" s="1"/>
      <c r="B8" s="106" t="s">
        <v>4</v>
      </c>
      <c r="C8" s="107"/>
      <c r="D8" s="15">
        <f>SUM(D6:D7)</f>
        <v>3055000000</v>
      </c>
      <c r="E8" s="15">
        <f t="shared" ref="E8:H8" si="0">SUM(E6:E7)</f>
        <v>10450000000</v>
      </c>
      <c r="F8" s="15">
        <f t="shared" si="0"/>
        <v>-10210000000</v>
      </c>
      <c r="G8" s="15">
        <f t="shared" si="0"/>
        <v>0</v>
      </c>
      <c r="H8" s="15">
        <f t="shared" si="0"/>
        <v>3295000000</v>
      </c>
    </row>
    <row r="9" spans="1:10" s="5" customFormat="1" ht="39.950000000000003" customHeight="1" x14ac:dyDescent="0.25">
      <c r="A9" s="1"/>
      <c r="B9" s="104" t="s">
        <v>20</v>
      </c>
      <c r="C9" s="12" t="s">
        <v>5</v>
      </c>
      <c r="D9" s="13">
        <f>-VLOOKUP(C9,[5]Summary!$D$5:$S$23,2,0)</f>
        <v>97405867000</v>
      </c>
      <c r="E9" s="13">
        <f>-VLOOKUP(C9,[5]Summary!$D$5:$S$23,5,0)</f>
        <v>0</v>
      </c>
      <c r="F9" s="13">
        <f>-VLOOKUP(C9,[5]Summary!$D$5:$S$23,10,0)</f>
        <v>-3136196000</v>
      </c>
      <c r="G9" s="13">
        <v>0</v>
      </c>
      <c r="H9" s="14">
        <f>-VLOOKUP(C9,[5]Summary!$D$5:$S$23,14,0)</f>
        <v>94269671000</v>
      </c>
    </row>
    <row r="10" spans="1:10" s="72" customFormat="1" ht="39.950000000000003" customHeight="1" x14ac:dyDescent="0.25">
      <c r="A10" s="71"/>
      <c r="B10" s="108"/>
      <c r="C10" s="12" t="s">
        <v>6</v>
      </c>
      <c r="D10" s="13">
        <f>-VLOOKUP(C10,[5]Summary!$D$5:$S$23,2,0)</f>
        <v>38887790000</v>
      </c>
      <c r="E10" s="13">
        <f>-VLOOKUP(C10,[5]Summary!$D$5:$S$23,5,0)</f>
        <v>0</v>
      </c>
      <c r="F10" s="13">
        <f>-VLOOKUP(C10,[5]Summary!$D$5:$S$23,10,0)</f>
        <v>-1279000000</v>
      </c>
      <c r="G10" s="13">
        <f>-[5]Summary!O15</f>
        <v>-80000000</v>
      </c>
      <c r="H10" s="14">
        <f>-VLOOKUP(C10,[5]Summary!$D$5:$S$23,14,0)</f>
        <v>37528790000</v>
      </c>
    </row>
    <row r="11" spans="1:10" s="5" customFormat="1" ht="39.950000000000003" customHeight="1" x14ac:dyDescent="0.25">
      <c r="A11" s="1"/>
      <c r="B11" s="108"/>
      <c r="C11" s="12" t="s">
        <v>7</v>
      </c>
      <c r="D11" s="13">
        <f>-VLOOKUP(C11,[5]Summary!$D$5:$S$23,2,0)</f>
        <v>0</v>
      </c>
      <c r="E11" s="13">
        <f>-VLOOKUP(C11,[5]Summary!$D$5:$S$23,5,0)</f>
        <v>0</v>
      </c>
      <c r="F11" s="13">
        <f>-VLOOKUP(C11,[5]Summary!$D$5:$S$23,10,0)</f>
        <v>0</v>
      </c>
      <c r="G11" s="13">
        <v>0</v>
      </c>
      <c r="H11" s="14">
        <f>-VLOOKUP(C11,[5]Summary!$D$5:$S$23,14,0)</f>
        <v>0</v>
      </c>
    </row>
    <row r="12" spans="1:10" s="5" customFormat="1" ht="39.950000000000003" customHeight="1" x14ac:dyDescent="0.25">
      <c r="A12" s="1"/>
      <c r="B12" s="108"/>
      <c r="C12" s="12" t="s">
        <v>8</v>
      </c>
      <c r="D12" s="13">
        <v>0</v>
      </c>
      <c r="E12" s="13">
        <v>0</v>
      </c>
      <c r="F12" s="13">
        <v>0</v>
      </c>
      <c r="G12" s="13">
        <v>0</v>
      </c>
      <c r="H12" s="14">
        <v>0</v>
      </c>
    </row>
    <row r="13" spans="1:10" s="5" customFormat="1" ht="39.950000000000003" customHeight="1" x14ac:dyDescent="0.25">
      <c r="A13" s="1"/>
      <c r="B13" s="108"/>
      <c r="C13" s="12" t="s">
        <v>9</v>
      </c>
      <c r="D13" s="13">
        <f>-VLOOKUP(C13,[5]Summary!$D$5:$S$23,2,0)-[5]Summary!E18</f>
        <v>13928658842.93</v>
      </c>
      <c r="E13" s="13">
        <f>-VLOOKUP(C13,[5]Summary!$D$5:$S$23,5,0)</f>
        <v>0</v>
      </c>
      <c r="F13" s="13">
        <f>-VLOOKUP(C13,[5]Summary!$D$5:$S$23,10,0)-[5]Summary!M18</f>
        <v>-136713224.55000001</v>
      </c>
      <c r="G13" s="13">
        <v>0</v>
      </c>
      <c r="H13" s="14">
        <f>-VLOOKUP(C13,[5]Summary!$D$5:$S$23,14,0)-[5]Summary!Q18</f>
        <v>13791945618.379999</v>
      </c>
    </row>
    <row r="14" spans="1:10" s="5" customFormat="1" ht="39.950000000000003" customHeight="1" x14ac:dyDescent="0.25">
      <c r="A14" s="1"/>
      <c r="B14" s="108"/>
      <c r="C14" s="12" t="s">
        <v>10</v>
      </c>
      <c r="D14" s="13">
        <f>-VLOOKUP(C14,[5]Summary!$D$5:$S$23,2,0)</f>
        <v>344831713.85000002</v>
      </c>
      <c r="E14" s="13">
        <f>-VLOOKUP(C14,[5]Summary!$D$5:$S$23,5,0)</f>
        <v>0</v>
      </c>
      <c r="F14" s="13">
        <f>-VLOOKUP(C14,[5]Summary!$D$5:$S$23,10,0)</f>
        <v>0</v>
      </c>
      <c r="G14" s="13">
        <f>-VLOOKUP(C14,[5]Summary!$D$5:$S$23,11,0)</f>
        <v>-3695334.59</v>
      </c>
      <c r="H14" s="14">
        <f>-VLOOKUP(C14,[5]Summary!$D$5:$S$23,14,0)</f>
        <v>341136379.25999999</v>
      </c>
    </row>
    <row r="15" spans="1:10" s="5" customFormat="1" ht="39.950000000000003" customHeight="1" x14ac:dyDescent="0.25">
      <c r="A15" s="1"/>
      <c r="B15" s="108"/>
      <c r="C15" s="12" t="s">
        <v>11</v>
      </c>
      <c r="D15" s="13">
        <f>-VLOOKUP(C15,[5]Summary!$D$5:$S$23,2,0)</f>
        <v>8269538149.75</v>
      </c>
      <c r="E15" s="13">
        <f>-VLOOKUP(C15,[5]Summary!$D$5:$S$23,5,0)</f>
        <v>0</v>
      </c>
      <c r="F15" s="13">
        <f>-VLOOKUP(C15,[5]Summary!$D$5:$S$23,10,0)</f>
        <v>-215000000</v>
      </c>
      <c r="G15" s="13">
        <f>-[5]Summary!O20</f>
        <v>80000000</v>
      </c>
      <c r="H15" s="14">
        <f>-VLOOKUP(C15,[5]Summary!$D$5:$S$23,14,0)</f>
        <v>8134538149.75</v>
      </c>
    </row>
    <row r="16" spans="1:10" s="5" customFormat="1" ht="39.950000000000003" customHeight="1" x14ac:dyDescent="0.25">
      <c r="A16" s="1"/>
      <c r="B16" s="108"/>
      <c r="C16" s="12" t="s">
        <v>12</v>
      </c>
      <c r="D16" s="13">
        <f>-VLOOKUP(C16,[5]Summary!$D$5:$S$22,2,0)-[5]Summary!E22</f>
        <v>84409255000</v>
      </c>
      <c r="E16" s="13">
        <f>-VLOOKUP(C16,[5]Summary!$D$5:$S$23,5,0)</f>
        <v>0</v>
      </c>
      <c r="F16" s="13">
        <f>-VLOOKUP(C16,[5]Summary!$D$5:$S$23,10,0)-[5]Summary!K22</f>
        <v>0</v>
      </c>
      <c r="G16" s="13">
        <v>0</v>
      </c>
      <c r="H16" s="14">
        <f>-VLOOKUP(C16,[5]Summary!$D$5:$S$23,14,0)-[5]Summary!Q22</f>
        <v>84409255000</v>
      </c>
      <c r="J16" s="16"/>
    </row>
    <row r="17" spans="1:8" s="5" customFormat="1" ht="45" customHeight="1" x14ac:dyDescent="0.25">
      <c r="A17" s="1"/>
      <c r="B17" s="109" t="s">
        <v>13</v>
      </c>
      <c r="C17" s="110"/>
      <c r="D17" s="17">
        <f>SUM(D9:D16)</f>
        <v>243245940706.53</v>
      </c>
      <c r="E17" s="17">
        <f t="shared" ref="E17:H17" si="1">SUM(E9:E16)</f>
        <v>0</v>
      </c>
      <c r="F17" s="17">
        <f t="shared" si="1"/>
        <v>-4766909224.5500002</v>
      </c>
      <c r="G17" s="17">
        <f t="shared" si="1"/>
        <v>-3695334.5900000036</v>
      </c>
      <c r="H17" s="17">
        <f t="shared" si="1"/>
        <v>238475336147.39001</v>
      </c>
    </row>
    <row r="18" spans="1:8" s="5" customFormat="1" ht="45" customHeight="1" thickBot="1" x14ac:dyDescent="0.3">
      <c r="A18" s="1"/>
      <c r="B18" s="101" t="s">
        <v>21</v>
      </c>
      <c r="C18" s="102"/>
      <c r="D18" s="18">
        <f>D17+D8</f>
        <v>246300940706.53</v>
      </c>
      <c r="E18" s="18">
        <f t="shared" ref="E18:H18" si="2">E17+E8</f>
        <v>10450000000</v>
      </c>
      <c r="F18" s="18">
        <f t="shared" si="2"/>
        <v>-14976909224.549999</v>
      </c>
      <c r="G18" s="18">
        <f t="shared" si="2"/>
        <v>-3695334.5900000036</v>
      </c>
      <c r="H18" s="18">
        <f t="shared" si="2"/>
        <v>241770336147.39001</v>
      </c>
    </row>
    <row r="20" spans="1:8" ht="15.75" x14ac:dyDescent="0.25">
      <c r="B20" s="19" t="s">
        <v>22</v>
      </c>
    </row>
    <row r="21" spans="1:8" ht="15" x14ac:dyDescent="0.25">
      <c r="B21" s="70" t="s">
        <v>23</v>
      </c>
    </row>
    <row r="22" spans="1:8" ht="15" x14ac:dyDescent="0.25">
      <c r="B22" s="69" t="s">
        <v>24</v>
      </c>
    </row>
    <row r="23" spans="1:8" x14ac:dyDescent="0.25">
      <c r="B23" s="111" t="s">
        <v>41</v>
      </c>
      <c r="C23" s="111"/>
      <c r="D23" s="111"/>
      <c r="E23" s="111"/>
      <c r="F23" s="111"/>
      <c r="G23" s="111"/>
      <c r="H23" s="111"/>
    </row>
    <row r="24" spans="1:8" x14ac:dyDescent="0.25">
      <c r="B24" s="111"/>
      <c r="C24" s="111"/>
      <c r="D24" s="111"/>
      <c r="E24" s="111"/>
      <c r="F24" s="111"/>
      <c r="G24" s="111"/>
      <c r="H24" s="111"/>
    </row>
    <row r="25" spans="1:8" ht="15" x14ac:dyDescent="0.25">
      <c r="B25" s="70" t="s">
        <v>44</v>
      </c>
    </row>
    <row r="26" spans="1:8" ht="15" x14ac:dyDescent="0.25">
      <c r="B26" s="70"/>
    </row>
    <row r="27" spans="1:8" ht="15.75" x14ac:dyDescent="0.25">
      <c r="B27" s="19" t="s">
        <v>27</v>
      </c>
      <c r="D27" s="24"/>
      <c r="E27" s="24"/>
      <c r="F27" s="24"/>
      <c r="G27" s="24"/>
      <c r="H27" s="24"/>
    </row>
    <row r="28" spans="1:8" x14ac:dyDescent="0.25">
      <c r="B28" s="88" t="s">
        <v>28</v>
      </c>
      <c r="C28" s="88"/>
      <c r="D28" s="88"/>
      <c r="E28" s="88"/>
      <c r="F28" s="88"/>
      <c r="G28" s="88"/>
      <c r="H28" s="88"/>
    </row>
    <row r="29" spans="1:8" x14ac:dyDescent="0.25">
      <c r="B29" s="88"/>
      <c r="C29" s="88"/>
      <c r="D29" s="88"/>
      <c r="E29" s="88"/>
      <c r="F29" s="88"/>
      <c r="G29" s="88"/>
      <c r="H29" s="88"/>
    </row>
    <row r="30" spans="1:8" x14ac:dyDescent="0.25">
      <c r="B30" s="88"/>
      <c r="C30" s="88"/>
      <c r="D30" s="88"/>
      <c r="E30" s="88"/>
      <c r="F30" s="88"/>
      <c r="G30" s="88"/>
      <c r="H30" s="88"/>
    </row>
    <row r="31" spans="1:8" x14ac:dyDescent="0.25">
      <c r="B31" s="88"/>
      <c r="C31" s="88"/>
      <c r="D31" s="88"/>
      <c r="E31" s="88"/>
      <c r="F31" s="88"/>
      <c r="G31" s="88"/>
      <c r="H31" s="88"/>
    </row>
    <row r="32" spans="1:8" x14ac:dyDescent="0.25">
      <c r="B32" s="88"/>
      <c r="C32" s="88"/>
      <c r="D32" s="88"/>
      <c r="E32" s="88"/>
      <c r="F32" s="88"/>
      <c r="G32" s="88"/>
      <c r="H32" s="88"/>
    </row>
    <row r="33" spans="2:8" x14ac:dyDescent="0.25">
      <c r="B33" s="88"/>
      <c r="C33" s="88"/>
      <c r="D33" s="88"/>
      <c r="E33" s="88"/>
      <c r="F33" s="88"/>
      <c r="G33" s="88"/>
      <c r="H33" s="88"/>
    </row>
  </sheetData>
  <mergeCells count="8">
    <mergeCell ref="B28:H33"/>
    <mergeCell ref="B23:H24"/>
    <mergeCell ref="B4:H4"/>
    <mergeCell ref="B6:B7"/>
    <mergeCell ref="B8:C8"/>
    <mergeCell ref="B9:B16"/>
    <mergeCell ref="B17:C17"/>
    <mergeCell ref="B18:C18"/>
  </mergeCells>
  <pageMargins left="0.7" right="0.7" top="0.75" bottom="0.75" header="0.3" footer="0.3"/>
  <pageSetup paperSize="4" scale="59" orientation="landscape" r:id="rId1"/>
  <headerFooter alignWithMargins="0"/>
  <ignoredErrors>
    <ignoredError sqref="D8:F8 H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5B730-3C2C-4C1C-BFB5-090C0BDF033E}">
  <dimension ref="A1:J34"/>
  <sheetViews>
    <sheetView zoomScaleNormal="100" workbookViewId="0">
      <selection activeCell="B4" sqref="B4:H4"/>
    </sheetView>
  </sheetViews>
  <sheetFormatPr defaultRowHeight="13.5" x14ac:dyDescent="0.25"/>
  <cols>
    <col min="1" max="1" width="2" style="6" customWidth="1"/>
    <col min="2" max="2" width="25.7109375" style="23" customWidth="1"/>
    <col min="3" max="3" width="25.7109375" style="20" customWidth="1"/>
    <col min="4" max="8" width="25.7109375" style="21" customWidth="1"/>
    <col min="10" max="10" width="17.28515625" bestFit="1" customWidth="1"/>
  </cols>
  <sheetData>
    <row r="1" spans="1:10" s="5" customFormat="1" ht="6.95" customHeight="1" x14ac:dyDescent="0.25">
      <c r="A1" s="1"/>
      <c r="B1" s="2"/>
      <c r="C1" s="3"/>
      <c r="D1" s="4"/>
      <c r="E1" s="4"/>
      <c r="F1" s="4"/>
      <c r="G1" s="4"/>
      <c r="H1" s="4"/>
    </row>
    <row r="2" spans="1:10" s="5" customFormat="1" ht="21.4" customHeight="1" x14ac:dyDescent="0.25">
      <c r="A2" s="1"/>
      <c r="B2" s="6"/>
      <c r="C2" s="3"/>
      <c r="D2" s="4"/>
      <c r="E2" s="4"/>
      <c r="F2" s="4"/>
      <c r="G2" s="4"/>
      <c r="H2" s="4"/>
    </row>
    <row r="3" spans="1:10" s="5" customFormat="1" ht="18.2" customHeight="1" x14ac:dyDescent="0.25">
      <c r="A3" s="1"/>
      <c r="B3" s="7"/>
      <c r="C3" s="3"/>
      <c r="D3" s="4"/>
      <c r="E3" s="4"/>
      <c r="F3" s="4"/>
      <c r="G3" s="4"/>
      <c r="H3" s="4"/>
    </row>
    <row r="4" spans="1:10" s="5" customFormat="1" ht="20.85" customHeight="1" thickBot="1" x14ac:dyDescent="0.45">
      <c r="A4" s="1"/>
      <c r="B4" s="103" t="s">
        <v>45</v>
      </c>
      <c r="C4" s="103"/>
      <c r="D4" s="103"/>
      <c r="E4" s="103"/>
      <c r="F4" s="103"/>
      <c r="G4" s="103"/>
      <c r="H4" s="103"/>
    </row>
    <row r="5" spans="1:10" s="5" customFormat="1" ht="57.75" customHeight="1" x14ac:dyDescent="0.25">
      <c r="A5" s="1"/>
      <c r="B5" s="8" t="s">
        <v>0</v>
      </c>
      <c r="C5" s="9" t="s">
        <v>1</v>
      </c>
      <c r="D5" s="10" t="s">
        <v>14</v>
      </c>
      <c r="E5" s="10" t="s">
        <v>15</v>
      </c>
      <c r="F5" s="10" t="s">
        <v>16</v>
      </c>
      <c r="G5" s="10" t="s">
        <v>17</v>
      </c>
      <c r="H5" s="11" t="s">
        <v>18</v>
      </c>
    </row>
    <row r="6" spans="1:10" s="5" customFormat="1" ht="39.950000000000003" customHeight="1" x14ac:dyDescent="0.25">
      <c r="A6" s="1"/>
      <c r="B6" s="104" t="s">
        <v>19</v>
      </c>
      <c r="C6" s="12" t="s">
        <v>2</v>
      </c>
      <c r="D6" s="13">
        <f>-VLOOKUP(C6,[6]Summary!$D$5:$S$23,2,0)</f>
        <v>3295000000</v>
      </c>
      <c r="E6" s="13">
        <f>-VLOOKUP(C6,[6]Summary!$D$5:$S$23,5,0)</f>
        <v>9000000000</v>
      </c>
      <c r="F6" s="13">
        <f>-VLOOKUP(C6,[6]Summary!$D$5:$S$23,10,0)</f>
        <v>-4250000000</v>
      </c>
      <c r="G6" s="13">
        <v>0</v>
      </c>
      <c r="H6" s="14">
        <f>-VLOOKUP(C6,[6]Summary!$D$5:$S$23,14,0)</f>
        <v>8045000000</v>
      </c>
    </row>
    <row r="7" spans="1:10" s="5" customFormat="1" ht="39.950000000000003" customHeight="1" x14ac:dyDescent="0.25">
      <c r="A7" s="1"/>
      <c r="B7" s="105"/>
      <c r="C7" s="12" t="s">
        <v>3</v>
      </c>
      <c r="D7" s="13">
        <f>-VLOOKUP(C7,[6]Summary!$D$5:$S$23,2,0)</f>
        <v>0</v>
      </c>
      <c r="E7" s="13">
        <f>-VLOOKUP(C7,[6]Summary!$D$5:$S$23,5,0)</f>
        <v>0</v>
      </c>
      <c r="F7" s="13">
        <f>-VLOOKUP(C7,[6]Summary!$D$5:$S$23,10,0)</f>
        <v>0</v>
      </c>
      <c r="G7" s="13">
        <v>0</v>
      </c>
      <c r="H7" s="14">
        <f>-VLOOKUP(C7,[6]Summary!$D$5:$S$23,14,0)</f>
        <v>0</v>
      </c>
    </row>
    <row r="8" spans="1:10" s="5" customFormat="1" ht="39.950000000000003" customHeight="1" x14ac:dyDescent="0.25">
      <c r="A8" s="1"/>
      <c r="B8" s="106" t="s">
        <v>4</v>
      </c>
      <c r="C8" s="107"/>
      <c r="D8" s="15">
        <f>SUM(D6:D7)</f>
        <v>3295000000</v>
      </c>
      <c r="E8" s="15">
        <f t="shared" ref="E8:H8" si="0">SUM(E6:E7)</f>
        <v>9000000000</v>
      </c>
      <c r="F8" s="15">
        <f t="shared" si="0"/>
        <v>-4250000000</v>
      </c>
      <c r="G8" s="15">
        <f t="shared" si="0"/>
        <v>0</v>
      </c>
      <c r="H8" s="15">
        <f t="shared" si="0"/>
        <v>8045000000</v>
      </c>
    </row>
    <row r="9" spans="1:10" s="5" customFormat="1" ht="39.950000000000003" customHeight="1" x14ac:dyDescent="0.25">
      <c r="A9" s="1"/>
      <c r="B9" s="104" t="s">
        <v>20</v>
      </c>
      <c r="C9" s="12" t="s">
        <v>5</v>
      </c>
      <c r="D9" s="13">
        <f>-VLOOKUP(C9,[6]Summary!$D$5:$S$23,2,0)</f>
        <v>94269671000</v>
      </c>
      <c r="E9" s="13">
        <f>-VLOOKUP(C9,[6]Summary!$D$5:$S$23,5,0)</f>
        <v>0</v>
      </c>
      <c r="F9" s="13">
        <f>-VLOOKUP(C9,[6]Summary!$D$5:$S$23,10,0)</f>
        <v>0</v>
      </c>
      <c r="G9" s="13">
        <v>0</v>
      </c>
      <c r="H9" s="14">
        <f>-VLOOKUP(C9,[6]Summary!$D$5:$S$23,14,0)</f>
        <v>94269671000</v>
      </c>
    </row>
    <row r="10" spans="1:10" s="72" customFormat="1" ht="39.950000000000003" customHeight="1" x14ac:dyDescent="0.25">
      <c r="A10" s="71"/>
      <c r="B10" s="108"/>
      <c r="C10" s="12" t="s">
        <v>6</v>
      </c>
      <c r="D10" s="13">
        <f>-VLOOKUP(C10,[6]Summary!$D$5:$S$23,2,0)</f>
        <v>37528790000</v>
      </c>
      <c r="E10" s="13">
        <f>-VLOOKUP(C10,[6]Summary!$D$5:$S$23,5,0)</f>
        <v>0</v>
      </c>
      <c r="F10" s="13">
        <f>-VLOOKUP(C10,[6]Summary!$D$5:$S$23,10,0)</f>
        <v>-15000000</v>
      </c>
      <c r="G10" s="13">
        <f>-[6]Summary!O15</f>
        <v>0</v>
      </c>
      <c r="H10" s="14">
        <f>-VLOOKUP(C10,[6]Summary!$D$5:$S$23,14,0)</f>
        <v>37513790000</v>
      </c>
    </row>
    <row r="11" spans="1:10" s="5" customFormat="1" ht="39.950000000000003" customHeight="1" x14ac:dyDescent="0.25">
      <c r="A11" s="1"/>
      <c r="B11" s="108"/>
      <c r="C11" s="12" t="s">
        <v>7</v>
      </c>
      <c r="D11" s="13">
        <f>-VLOOKUP(C11,[6]Summary!$D$5:$S$23,2,0)</f>
        <v>0</v>
      </c>
      <c r="E11" s="13">
        <f>-VLOOKUP(C11,[6]Summary!$D$5:$S$23,5,0)</f>
        <v>0</v>
      </c>
      <c r="F11" s="13">
        <f>-VLOOKUP(C11,[6]Summary!$D$5:$S$23,10,0)</f>
        <v>0</v>
      </c>
      <c r="G11" s="13">
        <v>0</v>
      </c>
      <c r="H11" s="14">
        <f>-VLOOKUP(C11,[6]Summary!$D$5:$S$23,14,0)</f>
        <v>0</v>
      </c>
    </row>
    <row r="12" spans="1:10" s="5" customFormat="1" ht="39.950000000000003" customHeight="1" x14ac:dyDescent="0.25">
      <c r="A12" s="1"/>
      <c r="B12" s="108"/>
      <c r="C12" s="12" t="s">
        <v>8</v>
      </c>
      <c r="D12" s="13">
        <v>0</v>
      </c>
      <c r="E12" s="13">
        <v>0</v>
      </c>
      <c r="F12" s="13">
        <v>0</v>
      </c>
      <c r="G12" s="13">
        <v>0</v>
      </c>
      <c r="H12" s="14">
        <v>0</v>
      </c>
    </row>
    <row r="13" spans="1:10" s="5" customFormat="1" ht="39.950000000000003" customHeight="1" x14ac:dyDescent="0.25">
      <c r="A13" s="1"/>
      <c r="B13" s="108"/>
      <c r="C13" s="12" t="s">
        <v>9</v>
      </c>
      <c r="D13" s="13">
        <f>-VLOOKUP(C13,[6]Summary!$D$5:$S$23,2,0)-[6]Summary!E18</f>
        <v>13791945618.379999</v>
      </c>
      <c r="E13" s="13">
        <f>-VLOOKUP(C13,[6]Summary!$D$5:$S$23,5,0)</f>
        <v>0</v>
      </c>
      <c r="F13" s="13">
        <f>-VLOOKUP(C13,[6]Summary!$D$5:$S$23,10,0)-[6]Summary!M18</f>
        <v>-118343539.84999999</v>
      </c>
      <c r="G13" s="13">
        <v>0</v>
      </c>
      <c r="H13" s="14">
        <f>-VLOOKUP(C13,[6]Summary!$D$5:$S$23,14,0)-[6]Summary!Q18</f>
        <v>13673602078.530001</v>
      </c>
    </row>
    <row r="14" spans="1:10" s="5" customFormat="1" ht="39.950000000000003" customHeight="1" x14ac:dyDescent="0.25">
      <c r="A14" s="1"/>
      <c r="B14" s="108"/>
      <c r="C14" s="12" t="s">
        <v>10</v>
      </c>
      <c r="D14" s="13">
        <f>-VLOOKUP(C14,[6]Summary!$D$5:$S$23,2,0)</f>
        <v>341136379.25999999</v>
      </c>
      <c r="E14" s="13">
        <f>-VLOOKUP(C14,[6]Summary!$D$5:$S$23,5,0)</f>
        <v>0</v>
      </c>
      <c r="F14" s="13">
        <f>-VLOOKUP(C14,[6]Summary!$D$5:$S$23,10,0)</f>
        <v>0</v>
      </c>
      <c r="G14" s="13">
        <f>-VLOOKUP(C14,[6]Summary!$D$5:$S$23,11,0)</f>
        <v>-6969052.4100000001</v>
      </c>
      <c r="H14" s="14">
        <f>-VLOOKUP(C14,[6]Summary!$D$5:$S$23,14,0)</f>
        <v>334167326.85000002</v>
      </c>
    </row>
    <row r="15" spans="1:10" s="5" customFormat="1" ht="39.950000000000003" customHeight="1" x14ac:dyDescent="0.25">
      <c r="A15" s="1"/>
      <c r="B15" s="108"/>
      <c r="C15" s="12" t="s">
        <v>11</v>
      </c>
      <c r="D15" s="13">
        <f>-VLOOKUP(C15,[6]Summary!$D$5:$S$23,2,0)</f>
        <v>8134538149.75</v>
      </c>
      <c r="E15" s="13">
        <f>-VLOOKUP(C15,[6]Summary!$D$5:$S$23,5,0)</f>
        <v>0</v>
      </c>
      <c r="F15" s="13">
        <f>-VLOOKUP(C15,[6]Summary!$D$5:$S$23,10,0)</f>
        <v>-183544862.75</v>
      </c>
      <c r="G15" s="13">
        <f>-[6]Summary!O20</f>
        <v>0</v>
      </c>
      <c r="H15" s="14">
        <f>-VLOOKUP(C15,[6]Summary!$D$5:$S$23,14,0)</f>
        <v>7950993287</v>
      </c>
    </row>
    <row r="16" spans="1:10" s="5" customFormat="1" ht="39.950000000000003" customHeight="1" x14ac:dyDescent="0.25">
      <c r="A16" s="1"/>
      <c r="B16" s="108"/>
      <c r="C16" s="12" t="s">
        <v>12</v>
      </c>
      <c r="D16" s="13">
        <f>-VLOOKUP(C16,[6]Summary!$D$5:$S$22,2,0)-[6]Summary!E22</f>
        <v>84409255000</v>
      </c>
      <c r="E16" s="13">
        <f>-VLOOKUP(C16,[6]Summary!$D$5:$S$23,5,0)</f>
        <v>0</v>
      </c>
      <c r="F16" s="13">
        <f>-VLOOKUP(C16,[6]Summary!$D$5:$S$23,10,0)-[6]Summary!K22</f>
        <v>-10075000000</v>
      </c>
      <c r="G16" s="13">
        <v>0</v>
      </c>
      <c r="H16" s="14">
        <f>-VLOOKUP(C16,[6]Summary!$D$5:$S$23,14,0)-[6]Summary!Q22</f>
        <v>74334255000</v>
      </c>
      <c r="J16" s="16"/>
    </row>
    <row r="17" spans="1:8" s="5" customFormat="1" ht="45" customHeight="1" x14ac:dyDescent="0.25">
      <c r="A17" s="1"/>
      <c r="B17" s="109" t="s">
        <v>13</v>
      </c>
      <c r="C17" s="110"/>
      <c r="D17" s="17">
        <f>SUM(D9:D16)</f>
        <v>238475336147.39001</v>
      </c>
      <c r="E17" s="17">
        <f t="shared" ref="E17:H17" si="1">SUM(E9:E16)</f>
        <v>0</v>
      </c>
      <c r="F17" s="17">
        <f t="shared" si="1"/>
        <v>-10391888402.6</v>
      </c>
      <c r="G17" s="17">
        <f t="shared" si="1"/>
        <v>-6969052.4100000001</v>
      </c>
      <c r="H17" s="17">
        <f t="shared" si="1"/>
        <v>228076478692.38</v>
      </c>
    </row>
    <row r="18" spans="1:8" s="5" customFormat="1" ht="45" customHeight="1" thickBot="1" x14ac:dyDescent="0.3">
      <c r="A18" s="1"/>
      <c r="B18" s="101" t="s">
        <v>21</v>
      </c>
      <c r="C18" s="102"/>
      <c r="D18" s="18">
        <f>D17+D8</f>
        <v>241770336147.39001</v>
      </c>
      <c r="E18" s="18">
        <f t="shared" ref="E18:H18" si="2">E17+E8</f>
        <v>9000000000</v>
      </c>
      <c r="F18" s="18">
        <f t="shared" si="2"/>
        <v>-14641888402.6</v>
      </c>
      <c r="G18" s="18">
        <f t="shared" si="2"/>
        <v>-6969052.4100000001</v>
      </c>
      <c r="H18" s="18">
        <f t="shared" si="2"/>
        <v>236121478692.38</v>
      </c>
    </row>
    <row r="21" spans="1:8" ht="15.75" x14ac:dyDescent="0.25">
      <c r="B21" s="19" t="s">
        <v>22</v>
      </c>
    </row>
    <row r="22" spans="1:8" ht="15" x14ac:dyDescent="0.25">
      <c r="B22" s="70" t="s">
        <v>23</v>
      </c>
    </row>
    <row r="23" spans="1:8" ht="15" x14ac:dyDescent="0.25">
      <c r="B23" s="69" t="s">
        <v>24</v>
      </c>
    </row>
    <row r="24" spans="1:8" x14ac:dyDescent="0.25">
      <c r="B24" s="111" t="s">
        <v>41</v>
      </c>
      <c r="C24" s="111"/>
      <c r="D24" s="111"/>
      <c r="E24" s="111"/>
      <c r="F24" s="111"/>
      <c r="G24" s="111"/>
      <c r="H24" s="111"/>
    </row>
    <row r="25" spans="1:8" x14ac:dyDescent="0.25">
      <c r="B25" s="111"/>
      <c r="C25" s="111"/>
      <c r="D25" s="111"/>
      <c r="E25" s="111"/>
      <c r="F25" s="111"/>
      <c r="G25" s="111"/>
      <c r="H25" s="111"/>
    </row>
    <row r="26" spans="1:8" ht="15" x14ac:dyDescent="0.25">
      <c r="B26" s="73" t="s">
        <v>46</v>
      </c>
      <c r="C26" s="74"/>
      <c r="D26" s="75"/>
    </row>
    <row r="27" spans="1:8" ht="15" x14ac:dyDescent="0.25">
      <c r="B27" s="70"/>
    </row>
    <row r="28" spans="1:8" ht="15.75" x14ac:dyDescent="0.25">
      <c r="B28" s="19" t="s">
        <v>27</v>
      </c>
      <c r="D28" s="24"/>
      <c r="E28" s="24"/>
      <c r="F28" s="24"/>
      <c r="G28" s="24"/>
      <c r="H28" s="24"/>
    </row>
    <row r="29" spans="1:8" x14ac:dyDescent="0.25">
      <c r="B29" s="88" t="s">
        <v>28</v>
      </c>
      <c r="C29" s="88"/>
      <c r="D29" s="88"/>
      <c r="E29" s="88"/>
      <c r="F29" s="88"/>
      <c r="G29" s="88"/>
      <c r="H29" s="88"/>
    </row>
    <row r="30" spans="1:8" x14ac:dyDescent="0.25">
      <c r="B30" s="88"/>
      <c r="C30" s="88"/>
      <c r="D30" s="88"/>
      <c r="E30" s="88"/>
      <c r="F30" s="88"/>
      <c r="G30" s="88"/>
      <c r="H30" s="88"/>
    </row>
    <row r="31" spans="1:8" x14ac:dyDescent="0.25">
      <c r="B31" s="88"/>
      <c r="C31" s="88"/>
      <c r="D31" s="88"/>
      <c r="E31" s="88"/>
      <c r="F31" s="88"/>
      <c r="G31" s="88"/>
      <c r="H31" s="88"/>
    </row>
    <row r="32" spans="1:8" x14ac:dyDescent="0.25">
      <c r="B32" s="88"/>
      <c r="C32" s="88"/>
      <c r="D32" s="88"/>
      <c r="E32" s="88"/>
      <c r="F32" s="88"/>
      <c r="G32" s="88"/>
      <c r="H32" s="88"/>
    </row>
    <row r="33" spans="2:8" x14ac:dyDescent="0.25">
      <c r="B33" s="88"/>
      <c r="C33" s="88"/>
      <c r="D33" s="88"/>
      <c r="E33" s="88"/>
      <c r="F33" s="88"/>
      <c r="G33" s="88"/>
      <c r="H33" s="88"/>
    </row>
    <row r="34" spans="2:8" x14ac:dyDescent="0.25">
      <c r="B34" s="88"/>
      <c r="C34" s="88"/>
      <c r="D34" s="88"/>
      <c r="E34" s="88"/>
      <c r="F34" s="88"/>
      <c r="G34" s="88"/>
      <c r="H34" s="88"/>
    </row>
  </sheetData>
  <mergeCells count="8">
    <mergeCell ref="B24:H25"/>
    <mergeCell ref="B29:H34"/>
    <mergeCell ref="B4:H4"/>
    <mergeCell ref="B6:B7"/>
    <mergeCell ref="B8:C8"/>
    <mergeCell ref="B9:B16"/>
    <mergeCell ref="B17:C17"/>
    <mergeCell ref="B18:C18"/>
  </mergeCells>
  <pageMargins left="0.7" right="0.7" top="0.75" bottom="0.75" header="0.3" footer="0.3"/>
  <pageSetup paperSize="4" scale="59" orientation="landscape" r:id="rId1"/>
  <headerFooter alignWithMargins="0"/>
  <ignoredErrors>
    <ignoredError sqref="D8:F8 H8"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JAN 2021</vt:lpstr>
      <vt:lpstr>FEB 2021</vt:lpstr>
      <vt:lpstr>MAR 2021</vt:lpstr>
      <vt:lpstr>APR 2021</vt:lpstr>
      <vt:lpstr>MAY 2021</vt:lpstr>
      <vt:lpstr>JUN 2021</vt:lpstr>
      <vt:lpstr>JUL 2021</vt:lpstr>
      <vt:lpstr>AUG 2021</vt:lpstr>
      <vt:lpstr>SEP 2021</vt:lpstr>
      <vt:lpstr>OCT 2021</vt:lpstr>
      <vt:lpstr>NOV 2021</vt:lpstr>
      <vt:lpstr>DEC 2021</vt:lpstr>
      <vt:lpstr>'APR 2021'!Print_Area</vt:lpstr>
      <vt:lpstr>'AUG 2021'!Print_Area</vt:lpstr>
      <vt:lpstr>'DEC 2021'!Print_Area</vt:lpstr>
      <vt:lpstr>'FEB 2021'!Print_Area</vt:lpstr>
      <vt:lpstr>'JAN 2021'!Print_Area</vt:lpstr>
      <vt:lpstr>'JUL 2021'!Print_Area</vt:lpstr>
      <vt:lpstr>'JUN 2021'!Print_Area</vt:lpstr>
      <vt:lpstr>'MAR 2021'!Print_Area</vt:lpstr>
      <vt:lpstr>'MAY 2021'!Print_Area</vt:lpstr>
      <vt:lpstr>'NOV 2021'!Print_Area</vt:lpstr>
      <vt:lpstr>'OCT 2021'!Print_Area</vt:lpstr>
      <vt:lpstr>'SEP 2021'!Print_Area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McNally, Helen</cp:lastModifiedBy>
  <dcterms:created xsi:type="dcterms:W3CDTF">2021-04-08T18:45:44Z</dcterms:created>
  <dcterms:modified xsi:type="dcterms:W3CDTF">2022-01-18T16:05:03Z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508769290</vt:i4>
  </property>
  <property fmtid="{D5CDD505-2E9C-101B-9397-08002B2CF9AE}" pid="3" name="_NewReviewCycle">
    <vt:lpwstr/>
  </property>
  <property fmtid="{D5CDD505-2E9C-101B-9397-08002B2CF9AE}" pid="4" name="_EmailSubject">
    <vt:lpwstr>Funding Summary Publication Timing Request</vt:lpwstr>
  </property>
  <property fmtid="{D5CDD505-2E9C-101B-9397-08002B2CF9AE}" pid="5" name="_AuthorEmail">
    <vt:lpwstr>helen_mcnally@fanniemae.com</vt:lpwstr>
  </property>
  <property fmtid="{D5CDD505-2E9C-101B-9397-08002B2CF9AE}" pid="6" name="_AuthorEmailDisplayName">
    <vt:lpwstr>McNally, Helen</vt:lpwstr>
  </property>
</Properties>
</file>